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afe4ff8d8e1b48/Skrivebord/Løb/"/>
    </mc:Choice>
  </mc:AlternateContent>
  <xr:revisionPtr revIDLastSave="0" documentId="8_{3683F370-80DE-E94A-8F9B-BE5F0A854E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athons 1-100" sheetId="1" r:id="rId1"/>
    <sheet name="Kommuner" sheetId="4" r:id="rId2"/>
    <sheet name="Statistik" sheetId="3" r:id="rId3"/>
  </sheets>
  <definedNames>
    <definedName name="_xlnm._FilterDatabase" localSheetId="0" hidden="1">'Marathons 1-100'!$A$2:$E$102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K7" i="1"/>
  <c r="K8" i="1"/>
  <c r="N1" i="1"/>
  <c r="K18" i="1"/>
  <c r="K17" i="1"/>
  <c r="K16" i="1"/>
  <c r="K15" i="1"/>
  <c r="K14" i="1"/>
  <c r="K13" i="1"/>
  <c r="K12" i="1"/>
  <c r="K11" i="1"/>
  <c r="K10" i="1"/>
  <c r="K9" i="1"/>
  <c r="H15" i="1"/>
  <c r="H18" i="1"/>
  <c r="H17" i="1"/>
  <c r="H16" i="1"/>
  <c r="H14" i="1"/>
  <c r="H13" i="1"/>
  <c r="H12" i="1"/>
  <c r="H11" i="1"/>
  <c r="H10" i="1"/>
  <c r="H9" i="1"/>
  <c r="H8" i="1"/>
  <c r="H7" i="1"/>
  <c r="O14" i="4"/>
  <c r="O13" i="4"/>
  <c r="O12" i="4"/>
  <c r="O11" i="4"/>
  <c r="O10" i="4"/>
  <c r="O9" i="4"/>
  <c r="O8" i="4"/>
  <c r="O7" i="4"/>
  <c r="O6" i="4"/>
  <c r="O5" i="4"/>
  <c r="O4" i="4"/>
  <c r="O17" i="4"/>
  <c r="O16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4" i="4"/>
  <c r="L25" i="4"/>
  <c r="I28" i="4"/>
  <c r="I27" i="4"/>
  <c r="L24" i="4"/>
  <c r="F20" i="4"/>
  <c r="F19" i="4"/>
  <c r="F18" i="4"/>
  <c r="F17" i="4"/>
  <c r="F16" i="4"/>
  <c r="F15" i="4"/>
  <c r="F14" i="4"/>
  <c r="F13" i="4"/>
  <c r="F12" i="4"/>
  <c r="F11" i="4"/>
  <c r="F10" i="4"/>
  <c r="F8" i="4"/>
  <c r="F7" i="4"/>
  <c r="F6" i="4"/>
  <c r="F5" i="4"/>
  <c r="F4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F9" i="4"/>
  <c r="F23" i="4"/>
  <c r="F22" i="4"/>
  <c r="C35" i="4"/>
  <c r="C34" i="4"/>
  <c r="L1" i="4"/>
  <c r="O1" i="4"/>
  <c r="I1" i="4"/>
  <c r="H19" i="1"/>
  <c r="J1" i="1"/>
  <c r="K19" i="1"/>
</calcChain>
</file>

<file path=xl/sharedStrings.xml><?xml version="1.0" encoding="utf-8"?>
<sst xmlns="http://schemas.openxmlformats.org/spreadsheetml/2006/main" count="303" uniqueCount="256">
  <si>
    <t>MARATHONS</t>
  </si>
  <si>
    <t>PR</t>
  </si>
  <si>
    <t xml:space="preserve">Antal løb </t>
  </si>
  <si>
    <t xml:space="preserve"> gennemsnit (tid)</t>
  </si>
  <si>
    <t>Nummer</t>
  </si>
  <si>
    <t>Dato</t>
  </si>
  <si>
    <t>Tid</t>
  </si>
  <si>
    <t>Løb navn</t>
  </si>
  <si>
    <t>Kommune</t>
  </si>
  <si>
    <t>Copenhagen Marathon 2019</t>
  </si>
  <si>
    <t>København</t>
  </si>
  <si>
    <t>Kanonkugle Marathon #209 i Hvidovre</t>
  </si>
  <si>
    <t>Hvidovre</t>
  </si>
  <si>
    <t>Marathon PopUp #38 Tueholmsøen i Vallensbæk</t>
  </si>
  <si>
    <t>Vallensbæk</t>
  </si>
  <si>
    <t>Marathon PopUp #40 i Fredensborg</t>
  </si>
  <si>
    <t>Fredensborg</t>
  </si>
  <si>
    <t>År</t>
  </si>
  <si>
    <t>Antal løb</t>
  </si>
  <si>
    <t>Måned</t>
  </si>
  <si>
    <t>Kanonkugle Marathon #216 i Hvidovre</t>
  </si>
  <si>
    <t>Januar</t>
  </si>
  <si>
    <t>Skinner Marathon #140a</t>
  </si>
  <si>
    <t>Greve</t>
  </si>
  <si>
    <t>Februar</t>
  </si>
  <si>
    <t>Letting Run #166 -Anne Leditzig nr 100-</t>
  </si>
  <si>
    <t>Frederikssund</t>
  </si>
  <si>
    <t>Marts</t>
  </si>
  <si>
    <t>Roskilde Canonball Marathon #3</t>
  </si>
  <si>
    <t>Roskilde</t>
  </si>
  <si>
    <t>April</t>
  </si>
  <si>
    <t>Marathon Popup #67 Tueholmsøen i Vallensbæk</t>
  </si>
  <si>
    <t>Maj</t>
  </si>
  <si>
    <t>MoffesMarathon #24 v. Søndersø</t>
  </si>
  <si>
    <t>Furesø</t>
  </si>
  <si>
    <t>Juni</t>
  </si>
  <si>
    <t>SH løb # 17 -Ishøj Dyrepark</t>
  </si>
  <si>
    <t>Ishøj</t>
  </si>
  <si>
    <t>Juli</t>
  </si>
  <si>
    <t xml:space="preserve">MoffesMarathon #25 v. Damhussøen </t>
  </si>
  <si>
    <t>August</t>
  </si>
  <si>
    <t>Hørsholm</t>
  </si>
  <si>
    <t>September</t>
  </si>
  <si>
    <t>Allerød</t>
  </si>
  <si>
    <t>Oktober</t>
  </si>
  <si>
    <t>Hillerød</t>
  </si>
  <si>
    <t>November</t>
  </si>
  <si>
    <t>Letting Run #212</t>
  </si>
  <si>
    <t>December</t>
  </si>
  <si>
    <t>Green Running #7-Troldeløbet -</t>
  </si>
  <si>
    <t xml:space="preserve">3600Marathon -Forårsløbet 2023 - </t>
  </si>
  <si>
    <t>Ø Marathon #113</t>
  </si>
  <si>
    <t>Tårnby</t>
  </si>
  <si>
    <t>MoffesMarathon #26 v. Søndersø</t>
  </si>
  <si>
    <t>Letting Run #217</t>
  </si>
  <si>
    <t>Rudersdal Cannonball Marathon #31</t>
  </si>
  <si>
    <t>Rudersdal</t>
  </si>
  <si>
    <t>Copenhagen Marathon 2023</t>
  </si>
  <si>
    <t>Letting Run #223</t>
  </si>
  <si>
    <t>28KD Judyløbet</t>
  </si>
  <si>
    <t>SH løb #19</t>
  </si>
  <si>
    <t>Gribskov</t>
  </si>
  <si>
    <t>Skinner Marathon #188a</t>
  </si>
  <si>
    <t>LNBK Marathon (Bagsværd Sø) Efterårsmarathon</t>
  </si>
  <si>
    <t>Gladsaxe</t>
  </si>
  <si>
    <t>Albertslund</t>
  </si>
  <si>
    <t>Høje-Taastrup</t>
  </si>
  <si>
    <t>Karise Marathon</t>
  </si>
  <si>
    <t>Faxe</t>
  </si>
  <si>
    <t>LNBK Marathon (Rudersdalruten)Forårsmarathon</t>
  </si>
  <si>
    <t>Runden Marathon #16</t>
  </si>
  <si>
    <t>Helsingør</t>
  </si>
  <si>
    <t>Hvalsø Cannonball (Sagnlandet) 2024</t>
  </si>
  <si>
    <t>Lejre</t>
  </si>
  <si>
    <t>Flådeegene Marathon #14</t>
  </si>
  <si>
    <t>Lyngby-Taarbæk</t>
  </si>
  <si>
    <t>Ø Marathon #156</t>
  </si>
  <si>
    <t>Skinner Marathon #201a</t>
  </si>
  <si>
    <t>Skinner Marathon #204a</t>
  </si>
  <si>
    <t>Skinner Marathon #208a</t>
  </si>
  <si>
    <t>Karise Marathon (Elis HM#1000)</t>
  </si>
  <si>
    <t>PE Marathon -Pias nr. #100 marathon-</t>
  </si>
  <si>
    <t>Roskilde Canonball Marathon #14(Rikke Cebula #300)</t>
  </si>
  <si>
    <t>4. Advent Julemix løbet v. Kokkedal Marathon</t>
  </si>
  <si>
    <t>Roskilde Canonball Marathon #15</t>
  </si>
  <si>
    <t>MoffesMarathon Strandløbet ##5</t>
  </si>
  <si>
    <t>Brøndby</t>
  </si>
  <si>
    <t>MoffesMarathon Damhussøløbet ##6</t>
  </si>
  <si>
    <t>Rødovre</t>
  </si>
  <si>
    <t>PE Marathon #45</t>
  </si>
  <si>
    <t>Ballerup</t>
  </si>
  <si>
    <t>Herlev</t>
  </si>
  <si>
    <t>Egedal</t>
  </si>
  <si>
    <t>Ø Marathon #173</t>
  </si>
  <si>
    <t>Marathon PopUp #82 i Rødovre</t>
  </si>
  <si>
    <t>Karise Marathon #75 on tour i Ringsted</t>
  </si>
  <si>
    <t>Ringsted</t>
  </si>
  <si>
    <t>Copenhagen Marathon 2025</t>
  </si>
  <si>
    <t>Hvalsø Cannonball (Sagnlandet) 2025</t>
  </si>
  <si>
    <t>Letting Run #300</t>
  </si>
  <si>
    <t>Hvalsø Cannonball-Klub100 Landsdelsløb-Brian nr100</t>
  </si>
  <si>
    <t>Vallensbæk Marathon</t>
  </si>
  <si>
    <t>MarathonDanmark Regionsløb, Region Hovedstaden</t>
  </si>
  <si>
    <t>Frederiksberg</t>
  </si>
  <si>
    <t>Onkel Stigs Cannonball i Allerød (Lynge Grusgrav)</t>
  </si>
  <si>
    <t>LNBK - Gentofte Sommermaraton 2025 </t>
  </si>
  <si>
    <t>Gentofte</t>
  </si>
  <si>
    <t>Karise Marathon #78 on tour i Solrød</t>
  </si>
  <si>
    <t>Solrød</t>
  </si>
  <si>
    <t>Kokkedal Marathon fyreaftensløb</t>
  </si>
  <si>
    <t>LNBK Utterslevmose efterårsmarathon 2025</t>
  </si>
  <si>
    <t xml:space="preserve">Kokkedal Marathon </t>
  </si>
  <si>
    <t>Stubberup Marathon</t>
  </si>
  <si>
    <t>Fredskov Basic Marathon</t>
  </si>
  <si>
    <t>Antal løb i alt</t>
  </si>
  <si>
    <t>Antal kommuner løbet:</t>
  </si>
  <si>
    <t>Region Hovedstaden</t>
  </si>
  <si>
    <t>Region Sjælland</t>
  </si>
  <si>
    <t>Region Syddanmark</t>
  </si>
  <si>
    <t>Region Midtjylland</t>
  </si>
  <si>
    <t>Region Nordjylland</t>
  </si>
  <si>
    <t xml:space="preserve">Albertslund      </t>
  </si>
  <si>
    <t xml:space="preserve">Faxe </t>
  </si>
  <si>
    <t xml:space="preserve">Assens </t>
  </si>
  <si>
    <t xml:space="preserve">Favrskov </t>
  </si>
  <si>
    <t xml:space="preserve">Brønderslev </t>
  </si>
  <si>
    <t xml:space="preserve">Allerød </t>
  </si>
  <si>
    <t xml:space="preserve">Greve </t>
  </si>
  <si>
    <t xml:space="preserve">Billund </t>
  </si>
  <si>
    <t xml:space="preserve">Hedensted </t>
  </si>
  <si>
    <t xml:space="preserve">Frederikshavn </t>
  </si>
  <si>
    <t xml:space="preserve">Ballerup </t>
  </si>
  <si>
    <t xml:space="preserve">Guldborgsund </t>
  </si>
  <si>
    <t xml:space="preserve">Esbjerg </t>
  </si>
  <si>
    <t xml:space="preserve">Herning </t>
  </si>
  <si>
    <t xml:space="preserve">Hjørring </t>
  </si>
  <si>
    <t>Bornholm</t>
  </si>
  <si>
    <t xml:space="preserve">Holbæk </t>
  </si>
  <si>
    <t xml:space="preserve">Fanø </t>
  </si>
  <si>
    <t xml:space="preserve">Holstebro </t>
  </si>
  <si>
    <t xml:space="preserve">Jammerbugt </t>
  </si>
  <si>
    <t xml:space="preserve">Brøndby </t>
  </si>
  <si>
    <t xml:space="preserve">Kalundborg </t>
  </si>
  <si>
    <t xml:space="preserve">Fredericia </t>
  </si>
  <si>
    <t xml:space="preserve">Horsens </t>
  </si>
  <si>
    <t xml:space="preserve">Læsø </t>
  </si>
  <si>
    <t xml:space="preserve">Dragør </t>
  </si>
  <si>
    <t xml:space="preserve">Køge </t>
  </si>
  <si>
    <t xml:space="preserve">Faaborg-Midtfyn </t>
  </si>
  <si>
    <t xml:space="preserve">Ikast-Brande </t>
  </si>
  <si>
    <t xml:space="preserve">Mariagerfjord </t>
  </si>
  <si>
    <t xml:space="preserve">Egedal </t>
  </si>
  <si>
    <t xml:space="preserve">Lejre </t>
  </si>
  <si>
    <t xml:space="preserve">Haderslev </t>
  </si>
  <si>
    <t xml:space="preserve">Lemvig </t>
  </si>
  <si>
    <t xml:space="preserve">Morsø </t>
  </si>
  <si>
    <t xml:space="preserve">Fredensborg </t>
  </si>
  <si>
    <t xml:space="preserve">Lolland </t>
  </si>
  <si>
    <t xml:space="preserve">Kerteminde </t>
  </si>
  <si>
    <t xml:space="preserve">Norddjurs </t>
  </si>
  <si>
    <t xml:space="preserve">Rebild </t>
  </si>
  <si>
    <t xml:space="preserve">Frederiksberg </t>
  </si>
  <si>
    <t xml:space="preserve">Næstved </t>
  </si>
  <si>
    <t xml:space="preserve">Kolding </t>
  </si>
  <si>
    <t xml:space="preserve">Odder </t>
  </si>
  <si>
    <t xml:space="preserve">Thisted </t>
  </si>
  <si>
    <t xml:space="preserve">Frederikssund </t>
  </si>
  <si>
    <t xml:space="preserve">Odsherred </t>
  </si>
  <si>
    <t xml:space="preserve">Langeland </t>
  </si>
  <si>
    <t xml:space="preserve">Randers </t>
  </si>
  <si>
    <t xml:space="preserve">Vesthimmerlands </t>
  </si>
  <si>
    <t xml:space="preserve">Furesø </t>
  </si>
  <si>
    <t xml:space="preserve">Ringsted </t>
  </si>
  <si>
    <t xml:space="preserve">Middelfart </t>
  </si>
  <si>
    <t xml:space="preserve">Ringkøbing-Skjern </t>
  </si>
  <si>
    <t xml:space="preserve">Aalborg </t>
  </si>
  <si>
    <t xml:space="preserve">Gentofte </t>
  </si>
  <si>
    <t xml:space="preserve">Roskilde </t>
  </si>
  <si>
    <t xml:space="preserve">Nordfyns </t>
  </si>
  <si>
    <t xml:space="preserve">Samsø </t>
  </si>
  <si>
    <t xml:space="preserve">Gladsaxe </t>
  </si>
  <si>
    <t xml:space="preserve">Slagelse </t>
  </si>
  <si>
    <t xml:space="preserve">Nyborg </t>
  </si>
  <si>
    <t xml:space="preserve">Silkeborg </t>
  </si>
  <si>
    <t>Antal løb i regionen</t>
  </si>
  <si>
    <t xml:space="preserve">Glostrup </t>
  </si>
  <si>
    <t xml:space="preserve">Solrød </t>
  </si>
  <si>
    <t xml:space="preserve">Odense </t>
  </si>
  <si>
    <t xml:space="preserve">Skanderborg </t>
  </si>
  <si>
    <t>Antal kommuner løbet i regionen</t>
  </si>
  <si>
    <t xml:space="preserve">Gribskov </t>
  </si>
  <si>
    <t xml:space="preserve">Sorø </t>
  </si>
  <si>
    <t xml:space="preserve">Svendborg </t>
  </si>
  <si>
    <t xml:space="preserve">Skive </t>
  </si>
  <si>
    <t xml:space="preserve">Halsnæs </t>
  </si>
  <si>
    <t xml:space="preserve">Stevns </t>
  </si>
  <si>
    <t xml:space="preserve">Sønderborg </t>
  </si>
  <si>
    <t xml:space="preserve">Struer </t>
  </si>
  <si>
    <t xml:space="preserve">Helsingør </t>
  </si>
  <si>
    <t xml:space="preserve">Vordingborg </t>
  </si>
  <si>
    <t xml:space="preserve">Tønder </t>
  </si>
  <si>
    <t xml:space="preserve">Syddjurs </t>
  </si>
  <si>
    <t xml:space="preserve">Herlev </t>
  </si>
  <si>
    <t xml:space="preserve">Varde </t>
  </si>
  <si>
    <t xml:space="preserve">Viborg </t>
  </si>
  <si>
    <t xml:space="preserve">Hillerød </t>
  </si>
  <si>
    <t xml:space="preserve">Vejen </t>
  </si>
  <si>
    <t xml:space="preserve">Århus </t>
  </si>
  <si>
    <t xml:space="preserve">Hvidovre </t>
  </si>
  <si>
    <t xml:space="preserve">Vejle </t>
  </si>
  <si>
    <t xml:space="preserve">Høje-Taastrup </t>
  </si>
  <si>
    <t xml:space="preserve">Ærø </t>
  </si>
  <si>
    <t xml:space="preserve">Hørsholm </t>
  </si>
  <si>
    <t xml:space="preserve">Aabenraa </t>
  </si>
  <si>
    <t xml:space="preserve">Ishøj </t>
  </si>
  <si>
    <t xml:space="preserve">Lyngby-Taarbæk </t>
  </si>
  <si>
    <t xml:space="preserve">Rudersdal </t>
  </si>
  <si>
    <t xml:space="preserve">Rødovre </t>
  </si>
  <si>
    <t xml:space="preserve">Tårnby </t>
  </si>
  <si>
    <t xml:space="preserve">Vallensbæk </t>
  </si>
  <si>
    <t>Kokkedal Marathon "1. Advent-Rudolf den røde løber"</t>
  </si>
  <si>
    <t>LNBK Amarmino Adventsløb 2025</t>
  </si>
  <si>
    <t>Dragør</t>
  </si>
  <si>
    <t>Kokkedal Marathon "3. Advent- Julekrukke løbet"</t>
  </si>
  <si>
    <t>Kokkedal Marathon "4. Advent- CrazyChristmas løbet"</t>
  </si>
  <si>
    <t xml:space="preserve">LNBK Hundested-Lynæs Marathon </t>
  </si>
  <si>
    <t>Halsnæs</t>
  </si>
  <si>
    <t>Glostrup</t>
  </si>
  <si>
    <t xml:space="preserve">Marathon Popup #85 i Glostrup </t>
  </si>
  <si>
    <t>Letting Run #301</t>
  </si>
  <si>
    <t>Kommuner mangler:</t>
  </si>
  <si>
    <t>Hvalsø Cannonball #69 (M. Brogaard nr. 100 marathon)</t>
  </si>
  <si>
    <t>MarathonDanmark - Kommuneserie Øst i Hørsholm</t>
  </si>
  <si>
    <t>MarathonDanmark - Kommuneserie Øst i Allerød</t>
  </si>
  <si>
    <t>MarathonDanmark - Kommuneserie Øst i Hillerød</t>
  </si>
  <si>
    <t>MarathonDanmark - Kommuneserie Øst i Vallensbæk</t>
  </si>
  <si>
    <t>MarathonDanmark - Kommuneserie Øst i Albertslund</t>
  </si>
  <si>
    <t>MarathonDanmark - Kommuneserie Øst i Høje Taastrup</t>
  </si>
  <si>
    <t>MarathonDanmark - Kommuneserie Øst i Ballerup</t>
  </si>
  <si>
    <t>MarathonDanmark - Kommuneserie Øst i Herlev</t>
  </si>
  <si>
    <t>MarathonDanmark - Kommuneserie Øst i Egedal</t>
  </si>
  <si>
    <t xml:space="preserve">MarathonDanmark - Kommuneserie Øst i Frederikssund </t>
  </si>
  <si>
    <t xml:space="preserve">MarathonDanmark - Kommuneserie Øst i Gribskov </t>
  </si>
  <si>
    <t>MarathonDanmark - Kommuneserie Øst i Helsingør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</si>
</sst>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F400]h:mm:ss\ AM/PM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8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3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rgb="FF00B050"/>
        </stop>
      </gradientFill>
    </fill>
    <fill>
      <patternFill patternType="solid">
        <fgColor rgb="FFF2F2F2"/>
        <bgColor rgb="FF000000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ck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ck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ck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rgb="FF3F3F3F"/>
      </bottom>
      <diagonal/>
    </border>
    <border>
      <left style="thin">
        <color rgb="FF3F3F3F"/>
      </left>
      <right style="thin">
        <color indexed="64"/>
      </right>
      <top style="thick">
        <color rgb="FF3F3F3F"/>
      </top>
      <bottom style="thick">
        <color rgb="FF3F3F3F"/>
      </bottom>
      <diagonal/>
    </border>
    <border>
      <left style="thin">
        <color rgb="FF3F3F3F"/>
      </left>
      <right style="thin">
        <color rgb="FF3F3F3F"/>
      </right>
      <top style="thick">
        <color rgb="FF3F3F3F"/>
      </top>
      <bottom style="thick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5" fillId="0" borderId="0" applyFont="0" applyFill="0" applyBorder="0" applyAlignment="0" applyProtection="0"/>
  </cellStyleXfs>
  <cellXfs count="79">
    <xf numFmtId="0" fontId="0" fillId="0" borderId="0" xfId="0"/>
    <xf numFmtId="0" fontId="0" fillId="5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3" borderId="1" xfId="1" applyFill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3" xfId="1" applyFill="1" applyBorder="1" applyAlignment="1">
      <alignment horizontal="left" vertical="center"/>
    </xf>
    <xf numFmtId="0" fontId="1" fillId="3" borderId="13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top"/>
    </xf>
    <xf numFmtId="0" fontId="1" fillId="3" borderId="13" xfId="1" applyFill="1" applyBorder="1" applyAlignment="1">
      <alignment horizontal="left" vertical="top" wrapText="1"/>
    </xf>
    <xf numFmtId="0" fontId="0" fillId="5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3" fillId="7" borderId="15" xfId="0" applyFont="1" applyFill="1" applyBorder="1" applyAlignment="1">
      <alignment horizontal="center" vertical="center"/>
    </xf>
    <xf numFmtId="0" fontId="3" fillId="6" borderId="3" xfId="0" applyFont="1" applyFill="1" applyBorder="1"/>
    <xf numFmtId="0" fontId="3" fillId="7" borderId="4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7" borderId="8" xfId="0" applyFont="1" applyFill="1" applyBorder="1" applyAlignment="1">
      <alignment horizontal="center" vertical="center"/>
    </xf>
    <xf numFmtId="0" fontId="0" fillId="0" borderId="3" xfId="0" applyBorder="1"/>
    <xf numFmtId="0" fontId="0" fillId="0" borderId="22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165" fontId="1" fillId="3" borderId="1" xfId="1" applyNumberFormat="1" applyFill="1" applyAlignment="1">
      <alignment horizontal="center" vertical="center"/>
    </xf>
    <xf numFmtId="0" fontId="1" fillId="8" borderId="1" xfId="1" applyFill="1" applyAlignment="1">
      <alignment horizontal="center" vertical="center"/>
    </xf>
    <xf numFmtId="0" fontId="0" fillId="0" borderId="23" xfId="0" applyBorder="1"/>
    <xf numFmtId="166" fontId="1" fillId="3" borderId="1" xfId="1" applyNumberFormat="1" applyFill="1" applyAlignment="1">
      <alignment horizontal="right" vertical="center"/>
    </xf>
    <xf numFmtId="0" fontId="0" fillId="6" borderId="17" xfId="2" applyNumberFormat="1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165" fontId="6" fillId="9" borderId="15" xfId="0" applyNumberFormat="1" applyFont="1" applyFill="1" applyBorder="1" applyAlignment="1">
      <alignment horizontal="center" vertical="center"/>
    </xf>
    <xf numFmtId="0" fontId="1" fillId="3" borderId="26" xfId="1" applyFill="1" applyBorder="1" applyAlignment="1">
      <alignment horizontal="center" vertical="center"/>
    </xf>
    <xf numFmtId="166" fontId="1" fillId="3" borderId="26" xfId="1" applyNumberFormat="1" applyFill="1" applyBorder="1" applyAlignment="1">
      <alignment horizontal="right" vertical="center"/>
    </xf>
    <xf numFmtId="165" fontId="1" fillId="3" borderId="26" xfId="1" applyNumberFormat="1" applyFill="1" applyBorder="1" applyAlignment="1">
      <alignment horizontal="center" vertical="center"/>
    </xf>
    <xf numFmtId="0" fontId="1" fillId="3" borderId="27" xfId="1" applyFill="1" applyBorder="1" applyAlignment="1">
      <alignment horizontal="left" vertical="center"/>
    </xf>
    <xf numFmtId="0" fontId="1" fillId="3" borderId="27" xfId="1" applyFill="1" applyBorder="1" applyAlignment="1">
      <alignment horizontal="left" vertical="top"/>
    </xf>
    <xf numFmtId="0" fontId="1" fillId="3" borderId="27" xfId="1" applyFill="1" applyBorder="1" applyAlignment="1">
      <alignment horizontal="left" vertical="top" wrapText="1"/>
    </xf>
    <xf numFmtId="0" fontId="7" fillId="9" borderId="15" xfId="0" applyFont="1" applyFill="1" applyBorder="1" applyAlignment="1">
      <alignment horizontal="center" vertical="center"/>
    </xf>
    <xf numFmtId="21" fontId="1" fillId="10" borderId="1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center"/>
    </xf>
    <xf numFmtId="0" fontId="1" fillId="3" borderId="28" xfId="1" applyFill="1" applyBorder="1" applyAlignment="1">
      <alignment horizontal="center" vertical="center"/>
    </xf>
    <xf numFmtId="166" fontId="1" fillId="3" borderId="28" xfId="1" applyNumberFormat="1" applyFill="1" applyBorder="1" applyAlignment="1">
      <alignment horizontal="right" vertical="center"/>
    </xf>
    <xf numFmtId="165" fontId="1" fillId="3" borderId="28" xfId="1" applyNumberForma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left" vertical="top" wrapText="1"/>
    </xf>
    <xf numFmtId="0" fontId="1" fillId="3" borderId="29" xfId="1" applyFill="1" applyBorder="1" applyAlignment="1">
      <alignment horizontal="left" vertical="center"/>
    </xf>
    <xf numFmtId="0" fontId="1" fillId="3" borderId="31" xfId="1" applyFill="1" applyBorder="1" applyAlignment="1">
      <alignment horizontal="center" vertical="center"/>
    </xf>
    <xf numFmtId="166" fontId="1" fillId="3" borderId="31" xfId="1" applyNumberFormat="1" applyFill="1" applyBorder="1" applyAlignment="1">
      <alignment horizontal="right" vertical="center"/>
    </xf>
    <xf numFmtId="165" fontId="1" fillId="3" borderId="31" xfId="1" applyNumberForma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left" vertical="top" wrapText="1"/>
    </xf>
    <xf numFmtId="0" fontId="1" fillId="3" borderId="30" xfId="1" applyFill="1" applyBorder="1" applyAlignment="1">
      <alignment horizontal="left" vertical="center"/>
    </xf>
    <xf numFmtId="0" fontId="1" fillId="3" borderId="33" xfId="1" applyFill="1" applyBorder="1" applyAlignment="1">
      <alignment horizontal="center" vertical="center"/>
    </xf>
    <xf numFmtId="166" fontId="1" fillId="3" borderId="33" xfId="1" applyNumberFormat="1" applyFill="1" applyBorder="1" applyAlignment="1">
      <alignment horizontal="right" vertical="center"/>
    </xf>
    <xf numFmtId="165" fontId="1" fillId="3" borderId="33" xfId="1" applyNumberFormat="1" applyFill="1" applyBorder="1" applyAlignment="1">
      <alignment horizontal="center" vertical="center"/>
    </xf>
    <xf numFmtId="0" fontId="1" fillId="3" borderId="32" xfId="1" applyFill="1" applyBorder="1" applyAlignment="1">
      <alignment horizontal="left" vertical="top" wrapText="1"/>
    </xf>
    <xf numFmtId="0" fontId="1" fillId="3" borderId="32" xfId="1" applyFill="1" applyBorder="1" applyAlignment="1">
      <alignment horizontal="left" vertical="center"/>
    </xf>
    <xf numFmtId="0" fontId="1" fillId="3" borderId="32" xfId="1" applyFill="1" applyBorder="1" applyAlignment="1">
      <alignment horizontal="left" vertical="top"/>
    </xf>
    <xf numFmtId="0" fontId="1" fillId="3" borderId="35" xfId="1" applyFill="1" applyBorder="1" applyAlignment="1">
      <alignment horizontal="center" vertical="center"/>
    </xf>
    <xf numFmtId="166" fontId="1" fillId="3" borderId="35" xfId="1" applyNumberFormat="1" applyFill="1" applyBorder="1" applyAlignment="1">
      <alignment horizontal="right" vertical="center"/>
    </xf>
    <xf numFmtId="165" fontId="1" fillId="3" borderId="35" xfId="1" applyNumberFormat="1" applyFill="1" applyBorder="1" applyAlignment="1">
      <alignment horizontal="center" vertical="center"/>
    </xf>
    <xf numFmtId="0" fontId="1" fillId="3" borderId="34" xfId="1" applyFill="1" applyBorder="1" applyAlignment="1">
      <alignment horizontal="left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3">
    <cellStyle name="Komma" xfId="2" builtinId="3"/>
    <cellStyle name="Normal" xfId="0" builtinId="0"/>
    <cellStyle name="Output" xfId="1" builtinId="21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/>
      </font>
      <numFmt numFmtId="26" formatCode="hh:mm:ss"/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numFmt numFmtId="165" formatCode="[$-F400]h:mm:ss\ AM/PM"/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26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'Marathons 1-100'!$C$3:$C$102</c:f>
              <c:numCache>
                <c:formatCode>[$-F400]h/mm/ss\ AM/PM</c:formatCode>
                <c:ptCount val="100"/>
                <c:pt idx="0">
                  <c:v>0.19978009259259258</c:v>
                </c:pt>
                <c:pt idx="1">
                  <c:v>0.19128472222222223</c:v>
                </c:pt>
                <c:pt idx="2">
                  <c:v>0.19721064814814815</c:v>
                </c:pt>
                <c:pt idx="3">
                  <c:v>0.21714120370370371</c:v>
                </c:pt>
                <c:pt idx="4">
                  <c:v>0.21568287037037037</c:v>
                </c:pt>
                <c:pt idx="5">
                  <c:v>0.20861111111111111</c:v>
                </c:pt>
                <c:pt idx="6">
                  <c:v>0.19751157407407408</c:v>
                </c:pt>
                <c:pt idx="7">
                  <c:v>0.18339120370370368</c:v>
                </c:pt>
                <c:pt idx="8">
                  <c:v>0.17666666666666667</c:v>
                </c:pt>
                <c:pt idx="9">
                  <c:v>0.17180555555555554</c:v>
                </c:pt>
                <c:pt idx="10">
                  <c:v>0.17756944444444445</c:v>
                </c:pt>
                <c:pt idx="11">
                  <c:v>0.18763888888888888</c:v>
                </c:pt>
                <c:pt idx="12">
                  <c:v>0.22287037037037039</c:v>
                </c:pt>
                <c:pt idx="13">
                  <c:v>0.18721064814814814</c:v>
                </c:pt>
                <c:pt idx="14">
                  <c:v>0.19805555555555557</c:v>
                </c:pt>
                <c:pt idx="15">
                  <c:v>0.18269675925925924</c:v>
                </c:pt>
                <c:pt idx="16">
                  <c:v>0.18865740740740741</c:v>
                </c:pt>
                <c:pt idx="17">
                  <c:v>0.17383101851851854</c:v>
                </c:pt>
                <c:pt idx="18">
                  <c:v>0.18666666666666668</c:v>
                </c:pt>
                <c:pt idx="19">
                  <c:v>0.19819444444444445</c:v>
                </c:pt>
                <c:pt idx="20">
                  <c:v>0.18665509259259261</c:v>
                </c:pt>
                <c:pt idx="21">
                  <c:v>0.20311342592592593</c:v>
                </c:pt>
                <c:pt idx="22">
                  <c:v>0.18856481481481482</c:v>
                </c:pt>
                <c:pt idx="23">
                  <c:v>0.20020833333333332</c:v>
                </c:pt>
                <c:pt idx="24">
                  <c:v>0.16925925925925925</c:v>
                </c:pt>
                <c:pt idx="25">
                  <c:v>0.18956018518518516</c:v>
                </c:pt>
                <c:pt idx="26">
                  <c:v>0.18111111111111111</c:v>
                </c:pt>
                <c:pt idx="27">
                  <c:v>0.20738425925925927</c:v>
                </c:pt>
                <c:pt idx="28">
                  <c:v>0.18152777777777776</c:v>
                </c:pt>
                <c:pt idx="29">
                  <c:v>0.18365740740740741</c:v>
                </c:pt>
                <c:pt idx="30">
                  <c:v>0.18353009259259259</c:v>
                </c:pt>
                <c:pt idx="31">
                  <c:v>0.17370370370370369</c:v>
                </c:pt>
                <c:pt idx="32">
                  <c:v>0.19300925925925927</c:v>
                </c:pt>
                <c:pt idx="33">
                  <c:v>0.23299768518518518</c:v>
                </c:pt>
                <c:pt idx="34">
                  <c:v>0.22461805555555556</c:v>
                </c:pt>
                <c:pt idx="35">
                  <c:v>0.21155092592592592</c:v>
                </c:pt>
                <c:pt idx="36">
                  <c:v>0.2069212962962963</c:v>
                </c:pt>
                <c:pt idx="37">
                  <c:v>0.20442129629629627</c:v>
                </c:pt>
                <c:pt idx="38">
                  <c:v>0.18541666666666667</c:v>
                </c:pt>
                <c:pt idx="39">
                  <c:v>0.20174768518518518</c:v>
                </c:pt>
                <c:pt idx="40">
                  <c:v>0.19511574074074076</c:v>
                </c:pt>
                <c:pt idx="41">
                  <c:v>0.20603009259259261</c:v>
                </c:pt>
                <c:pt idx="42">
                  <c:v>0.18475694444444446</c:v>
                </c:pt>
                <c:pt idx="43">
                  <c:v>0.19986111111111113</c:v>
                </c:pt>
                <c:pt idx="44">
                  <c:v>0.18877314814814816</c:v>
                </c:pt>
                <c:pt idx="45">
                  <c:v>0.1907986111111111</c:v>
                </c:pt>
                <c:pt idx="46">
                  <c:v>0.20216435185185186</c:v>
                </c:pt>
                <c:pt idx="47">
                  <c:v>0.18256944444444445</c:v>
                </c:pt>
                <c:pt idx="48">
                  <c:v>0.18934027777777776</c:v>
                </c:pt>
                <c:pt idx="49">
                  <c:v>0.19358796296296296</c:v>
                </c:pt>
                <c:pt idx="50">
                  <c:v>0.18930555555555553</c:v>
                </c:pt>
                <c:pt idx="51">
                  <c:v>0.18158564814814815</c:v>
                </c:pt>
                <c:pt idx="52">
                  <c:v>0.19400462962962961</c:v>
                </c:pt>
                <c:pt idx="53">
                  <c:v>0.17663194444444444</c:v>
                </c:pt>
                <c:pt idx="54">
                  <c:v>0.16570601851851852</c:v>
                </c:pt>
                <c:pt idx="55">
                  <c:v>0.20291666666666666</c:v>
                </c:pt>
                <c:pt idx="56" formatCode="h:mm:ss">
                  <c:v>0.20751157407407406</c:v>
                </c:pt>
                <c:pt idx="57" formatCode="h:mm:ss">
                  <c:v>0.19981481481481481</c:v>
                </c:pt>
                <c:pt idx="58" formatCode="h:mm:ss">
                  <c:v>0.1824537037037037</c:v>
                </c:pt>
                <c:pt idx="59" formatCode="h:mm:ss">
                  <c:v>0.19879629629629628</c:v>
                </c:pt>
                <c:pt idx="60" formatCode="h:mm:ss">
                  <c:v>0.20626157407407408</c:v>
                </c:pt>
                <c:pt idx="61" formatCode="h:mm:ss">
                  <c:v>0.18923611111111113</c:v>
                </c:pt>
                <c:pt idx="62" formatCode="h:mm:ss">
                  <c:v>0.19824074074074075</c:v>
                </c:pt>
                <c:pt idx="63">
                  <c:v>0.21023148148148149</c:v>
                </c:pt>
                <c:pt idx="64">
                  <c:v>0.19688657407407406</c:v>
                </c:pt>
                <c:pt idx="65">
                  <c:v>0.19072916666666667</c:v>
                </c:pt>
                <c:pt idx="66">
                  <c:v>0.20685185185185184</c:v>
                </c:pt>
                <c:pt idx="67">
                  <c:v>0.20776620370370369</c:v>
                </c:pt>
                <c:pt idx="68">
                  <c:v>0.176875</c:v>
                </c:pt>
                <c:pt idx="69">
                  <c:v>0.18425925925925926</c:v>
                </c:pt>
                <c:pt idx="70">
                  <c:v>0.18559027777777778</c:v>
                </c:pt>
                <c:pt idx="71">
                  <c:v>0.21657407407407406</c:v>
                </c:pt>
                <c:pt idx="72">
                  <c:v>0.20072916666666665</c:v>
                </c:pt>
                <c:pt idx="73">
                  <c:v>0.1917824074074074</c:v>
                </c:pt>
                <c:pt idx="74">
                  <c:v>0.20225694444444445</c:v>
                </c:pt>
                <c:pt idx="75">
                  <c:v>0.1852662037037037</c:v>
                </c:pt>
                <c:pt idx="76">
                  <c:v>0.19023148148148147</c:v>
                </c:pt>
                <c:pt idx="77">
                  <c:v>0.19554398148148147</c:v>
                </c:pt>
                <c:pt idx="78">
                  <c:v>0.19055555555555556</c:v>
                </c:pt>
                <c:pt idx="79">
                  <c:v>0.20653935185185185</c:v>
                </c:pt>
                <c:pt idx="80">
                  <c:v>0.22232638888888889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6-4A41-897B-55F437EC8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4208"/>
        <c:axId val="64095744"/>
      </c:lineChart>
      <c:catAx>
        <c:axId val="6409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64095744"/>
        <c:crossesAt val="0.1"/>
        <c:auto val="1"/>
        <c:lblAlgn val="ctr"/>
        <c:lblOffset val="100"/>
        <c:noMultiLvlLbl val="0"/>
      </c:catAx>
      <c:valAx>
        <c:axId val="64095744"/>
        <c:scaling>
          <c:orientation val="minMax"/>
          <c:max val="0.26"/>
          <c:min val="0.12000000000000001"/>
        </c:scaling>
        <c:delete val="0"/>
        <c:axPos val="l"/>
        <c:majorGridlines/>
        <c:numFmt formatCode="[$-F400]h/mm/ss\ AM/PM" sourceLinked="1"/>
        <c:majorTickMark val="none"/>
        <c:minorTickMark val="none"/>
        <c:tickLblPos val="nextTo"/>
        <c:crossAx val="6409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Antal løb pr år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antal løb pr år</c:v>
          </c:tx>
          <c:spPr>
            <a:gradFill>
              <a:gsLst>
                <a:gs pos="0">
                  <a:srgbClr val="00B0F0"/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</a:gradFill>
            <a:ln w="9525" cap="flat">
              <a:solidFill>
                <a:schemeClr val="accent1"/>
              </a:solidFill>
              <a:round/>
            </a:ln>
            <a:effectLst>
              <a:outerShdw blurRad="50800" dist="50800" dir="5400000" algn="ctr" rotWithShape="0">
                <a:srgbClr val="0070C0"/>
              </a:outerShdw>
            </a:effectLst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200"/>
                </a:pPr>
                <a:endParaRPr lang="en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'Marathons 1-100'!$G$7:$G$18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'Marathons 1-100'!$H$7:$H$18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21</c:v>
                </c:pt>
                <c:pt idx="5">
                  <c:v>16</c:v>
                </c:pt>
                <c:pt idx="6">
                  <c:v>31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D-48D9-BC0F-030EDA11FAD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811392"/>
        <c:axId val="64814080"/>
      </c:barChart>
      <c:catAx>
        <c:axId val="648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DK"/>
          </a:p>
        </c:txPr>
        <c:crossAx val="64814080"/>
        <c:crosses val="autoZero"/>
        <c:auto val="1"/>
        <c:lblAlgn val="ctr"/>
        <c:lblOffset val="100"/>
        <c:noMultiLvlLbl val="0"/>
      </c:catAx>
      <c:valAx>
        <c:axId val="648140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64811392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Antal løb pr måned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Antal løb pr måned</c:v>
          </c:tx>
          <c:spPr>
            <a:gradFill>
              <a:gsLst>
                <a:gs pos="0">
                  <a:srgbClr val="00B0F0"/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2700000" scaled="1"/>
            </a:gradFill>
            <a:ln>
              <a:solidFill>
                <a:schemeClr val="accent1"/>
              </a:solidFill>
            </a:ln>
            <a:effectLst>
              <a:outerShdw blurRad="50800" dist="50800" dir="5400000" algn="ctr" rotWithShape="0">
                <a:srgbClr val="0070C0"/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2"/>
            <c:dispRSqr val="0"/>
            <c:dispEq val="0"/>
          </c:trendline>
          <c:trendline>
            <c:trendlineType val="movingAvg"/>
            <c:period val="2"/>
            <c:dispRSqr val="0"/>
            <c:dispEq val="0"/>
          </c:trendline>
          <c:cat>
            <c:strRef>
              <c:f>'Marathons 1-100'!$J$7:$J$18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'Marathons 1-100'!$K$7:$K$18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12</c:v>
                </c:pt>
                <c:pt idx="3">
                  <c:v>17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D-4F0E-B234-22B11E787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69600"/>
        <c:axId val="72571136"/>
      </c:barChart>
      <c:catAx>
        <c:axId val="7256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DK"/>
          </a:p>
        </c:txPr>
        <c:crossAx val="72571136"/>
        <c:crosses val="autoZero"/>
        <c:auto val="1"/>
        <c:lblAlgn val="ctr"/>
        <c:lblOffset val="100"/>
        <c:noMultiLvlLbl val="0"/>
      </c:catAx>
      <c:valAx>
        <c:axId val="72571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2569600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Kommuner i Region Hovedstaden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Kommuner!$B$4:$B$32</c:f>
              <c:strCache>
                <c:ptCount val="29"/>
                <c:pt idx="0">
                  <c:v>Albertslund      </c:v>
                </c:pt>
                <c:pt idx="1">
                  <c:v>Allerød </c:v>
                </c:pt>
                <c:pt idx="2">
                  <c:v>Ballerup </c:v>
                </c:pt>
                <c:pt idx="3">
                  <c:v>Bornholm</c:v>
                </c:pt>
                <c:pt idx="4">
                  <c:v>Brøndby </c:v>
                </c:pt>
                <c:pt idx="5">
                  <c:v>Dragør </c:v>
                </c:pt>
                <c:pt idx="6">
                  <c:v>Egedal </c:v>
                </c:pt>
                <c:pt idx="7">
                  <c:v>Fredensborg </c:v>
                </c:pt>
                <c:pt idx="8">
                  <c:v>Frederiksberg </c:v>
                </c:pt>
                <c:pt idx="9">
                  <c:v>Frederikssund </c:v>
                </c:pt>
                <c:pt idx="10">
                  <c:v>Furesø </c:v>
                </c:pt>
                <c:pt idx="11">
                  <c:v>Gentofte </c:v>
                </c:pt>
                <c:pt idx="12">
                  <c:v>Gladsaxe </c:v>
                </c:pt>
                <c:pt idx="13">
                  <c:v>Glostrup </c:v>
                </c:pt>
                <c:pt idx="14">
                  <c:v>Gribskov </c:v>
                </c:pt>
                <c:pt idx="15">
                  <c:v>Halsnæs </c:v>
                </c:pt>
                <c:pt idx="16">
                  <c:v>Helsingør </c:v>
                </c:pt>
                <c:pt idx="17">
                  <c:v>Herlev </c:v>
                </c:pt>
                <c:pt idx="18">
                  <c:v>Hillerød </c:v>
                </c:pt>
                <c:pt idx="19">
                  <c:v>Hvidovre </c:v>
                </c:pt>
                <c:pt idx="20">
                  <c:v>Høje-Taastrup </c:v>
                </c:pt>
                <c:pt idx="21">
                  <c:v>Hørsholm </c:v>
                </c:pt>
                <c:pt idx="22">
                  <c:v>Ishøj </c:v>
                </c:pt>
                <c:pt idx="23">
                  <c:v>København</c:v>
                </c:pt>
                <c:pt idx="24">
                  <c:v>Lyngby-Taarbæk </c:v>
                </c:pt>
                <c:pt idx="25">
                  <c:v>Rudersdal </c:v>
                </c:pt>
                <c:pt idx="26">
                  <c:v>Rødovre </c:v>
                </c:pt>
                <c:pt idx="27">
                  <c:v>Tårnby </c:v>
                </c:pt>
                <c:pt idx="28">
                  <c:v>Vallensbæk </c:v>
                </c:pt>
              </c:strCache>
            </c:strRef>
          </c:cat>
          <c:val>
            <c:numRef>
              <c:f>Kommuner!$B$4:$B$32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9-4DBF-BDE6-0DD8977CCCA0}"/>
            </c:ext>
          </c:extLst>
        </c:ser>
        <c:ser>
          <c:idx val="1"/>
          <c:order val="1"/>
          <c:spPr>
            <a:solidFill>
              <a:srgbClr val="00B0F0"/>
            </a:solidFill>
            <a:ln>
              <a:solidFill>
                <a:schemeClr val="accent1">
                  <a:alpha val="1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Kommuner!$C$4:$C$32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9-4DBF-BDE6-0DD8977C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32320"/>
        <c:axId val="85034112"/>
      </c:barChart>
      <c:catAx>
        <c:axId val="8503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/>
            </a:pPr>
            <a:endParaRPr lang="en-DK"/>
          </a:p>
        </c:txPr>
        <c:crossAx val="85034112"/>
        <c:crosses val="autoZero"/>
        <c:auto val="1"/>
        <c:lblAlgn val="ctr"/>
        <c:lblOffset val="100"/>
        <c:tickMarkSkip val="1"/>
        <c:noMultiLvlLbl val="0"/>
      </c:catAx>
      <c:valAx>
        <c:axId val="8503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503232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Kommuner</a:t>
            </a:r>
            <a:r>
              <a:rPr lang="da-DK" baseline="0"/>
              <a:t> i Region Sjælland</a:t>
            </a:r>
            <a:endParaRPr lang="da-DK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solidFill>
                <a:schemeClr val="accent1">
                  <a:alpha val="1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Kommuner!$E$4:$E$20</c:f>
              <c:strCache>
                <c:ptCount val="17"/>
                <c:pt idx="0">
                  <c:v>Faxe </c:v>
                </c:pt>
                <c:pt idx="1">
                  <c:v>Greve </c:v>
                </c:pt>
                <c:pt idx="2">
                  <c:v>Guldborgsund </c:v>
                </c:pt>
                <c:pt idx="3">
                  <c:v>Holbæk </c:v>
                </c:pt>
                <c:pt idx="4">
                  <c:v>Kalundborg </c:v>
                </c:pt>
                <c:pt idx="5">
                  <c:v>Køge </c:v>
                </c:pt>
                <c:pt idx="6">
                  <c:v>Lejre </c:v>
                </c:pt>
                <c:pt idx="7">
                  <c:v>Lolland </c:v>
                </c:pt>
                <c:pt idx="8">
                  <c:v>Næstved </c:v>
                </c:pt>
                <c:pt idx="9">
                  <c:v>Odsherred </c:v>
                </c:pt>
                <c:pt idx="10">
                  <c:v>Ringsted </c:v>
                </c:pt>
                <c:pt idx="11">
                  <c:v>Roskilde </c:v>
                </c:pt>
                <c:pt idx="12">
                  <c:v>Slagelse </c:v>
                </c:pt>
                <c:pt idx="13">
                  <c:v>Solrød </c:v>
                </c:pt>
                <c:pt idx="14">
                  <c:v>Sorø </c:v>
                </c:pt>
                <c:pt idx="15">
                  <c:v>Stevns </c:v>
                </c:pt>
                <c:pt idx="16">
                  <c:v>Vordingborg </c:v>
                </c:pt>
              </c:strCache>
            </c:strRef>
          </c:cat>
          <c:val>
            <c:numRef>
              <c:f>Kommuner!$F$4:$F$20</c:f>
              <c:numCache>
                <c:formatCode>General</c:formatCode>
                <c:ptCount val="1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1-4340-B415-B861BBD4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85051648"/>
        <c:axId val="84938752"/>
      </c:barChart>
      <c:catAx>
        <c:axId val="85051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DK"/>
          </a:p>
        </c:txPr>
        <c:crossAx val="84938752"/>
        <c:crosses val="autoZero"/>
        <c:auto val="1"/>
        <c:lblAlgn val="ctr"/>
        <c:lblOffset val="100"/>
        <c:noMultiLvlLbl val="0"/>
      </c:catAx>
      <c:valAx>
        <c:axId val="84938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505164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Kommuner i Region Syddanmark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Kommuner!$H$4:$H$25</c:f>
              <c:strCache>
                <c:ptCount val="22"/>
                <c:pt idx="0">
                  <c:v>Assens </c:v>
                </c:pt>
                <c:pt idx="1">
                  <c:v>Billund </c:v>
                </c:pt>
                <c:pt idx="2">
                  <c:v>Esbjerg </c:v>
                </c:pt>
                <c:pt idx="3">
                  <c:v>Fanø </c:v>
                </c:pt>
                <c:pt idx="4">
                  <c:v>Fredericia </c:v>
                </c:pt>
                <c:pt idx="5">
                  <c:v>Faaborg-Midtfyn </c:v>
                </c:pt>
                <c:pt idx="6">
                  <c:v>Haderslev </c:v>
                </c:pt>
                <c:pt idx="7">
                  <c:v>Kerteminde </c:v>
                </c:pt>
                <c:pt idx="8">
                  <c:v>Kolding </c:v>
                </c:pt>
                <c:pt idx="9">
                  <c:v>Langeland </c:v>
                </c:pt>
                <c:pt idx="10">
                  <c:v>Middelfart </c:v>
                </c:pt>
                <c:pt idx="11">
                  <c:v>Nordfyns </c:v>
                </c:pt>
                <c:pt idx="12">
                  <c:v>Nyborg </c:v>
                </c:pt>
                <c:pt idx="13">
                  <c:v>Odense </c:v>
                </c:pt>
                <c:pt idx="14">
                  <c:v>Svendborg </c:v>
                </c:pt>
                <c:pt idx="15">
                  <c:v>Sønderborg </c:v>
                </c:pt>
                <c:pt idx="16">
                  <c:v>Tønder </c:v>
                </c:pt>
                <c:pt idx="17">
                  <c:v>Varde </c:v>
                </c:pt>
                <c:pt idx="18">
                  <c:v>Vejen </c:v>
                </c:pt>
                <c:pt idx="19">
                  <c:v>Vejle </c:v>
                </c:pt>
                <c:pt idx="20">
                  <c:v>Ærø </c:v>
                </c:pt>
                <c:pt idx="21">
                  <c:v>Aabenraa </c:v>
                </c:pt>
              </c:strCache>
            </c:strRef>
          </c:cat>
          <c:val>
            <c:numRef>
              <c:f>Kommuner!$I$4:$I$25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5-4F31-836F-0E2EB5E5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84960000"/>
        <c:axId val="84961536"/>
      </c:barChart>
      <c:catAx>
        <c:axId val="8496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/>
            </a:pPr>
            <a:endParaRPr lang="en-DK"/>
          </a:p>
        </c:txPr>
        <c:crossAx val="84961536"/>
        <c:crosses val="autoZero"/>
        <c:auto val="1"/>
        <c:lblAlgn val="ctr"/>
        <c:lblOffset val="100"/>
        <c:noMultiLvlLbl val="0"/>
      </c:catAx>
      <c:valAx>
        <c:axId val="8496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96000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Kommuner i Region Nordjylland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Kommuner!$N$4:$N$14</c:f>
              <c:strCache>
                <c:ptCount val="11"/>
                <c:pt idx="0">
                  <c:v>Brønderslev </c:v>
                </c:pt>
                <c:pt idx="1">
                  <c:v>Frederikshavn </c:v>
                </c:pt>
                <c:pt idx="2">
                  <c:v>Hjørring </c:v>
                </c:pt>
                <c:pt idx="3">
                  <c:v>Jammerbugt </c:v>
                </c:pt>
                <c:pt idx="4">
                  <c:v>Læsø </c:v>
                </c:pt>
                <c:pt idx="5">
                  <c:v>Mariagerfjord </c:v>
                </c:pt>
                <c:pt idx="6">
                  <c:v>Morsø </c:v>
                </c:pt>
                <c:pt idx="7">
                  <c:v>Rebild </c:v>
                </c:pt>
                <c:pt idx="8">
                  <c:v>Thisted </c:v>
                </c:pt>
                <c:pt idx="9">
                  <c:v>Vesthimmerlands </c:v>
                </c:pt>
                <c:pt idx="10">
                  <c:v>Aalborg </c:v>
                </c:pt>
              </c:strCache>
            </c:strRef>
          </c:cat>
          <c:val>
            <c:numRef>
              <c:f>Kommuner!$O$4:$O$14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0-45D2-8AE2-C62CF90FD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84998016"/>
        <c:axId val="84999552"/>
      </c:barChart>
      <c:catAx>
        <c:axId val="8499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DK"/>
          </a:p>
        </c:txPr>
        <c:crossAx val="84999552"/>
        <c:crosses val="autoZero"/>
        <c:auto val="1"/>
        <c:lblAlgn val="ctr"/>
        <c:lblOffset val="100"/>
        <c:noMultiLvlLbl val="0"/>
      </c:catAx>
      <c:valAx>
        <c:axId val="84999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99801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Kommuner</a:t>
            </a:r>
            <a:r>
              <a:rPr lang="da-DK" baseline="0"/>
              <a:t> i Region Midtjylland</a:t>
            </a:r>
            <a:endParaRPr lang="da-DK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Kommuner!$K$4:$K$22</c:f>
              <c:strCache>
                <c:ptCount val="19"/>
                <c:pt idx="0">
                  <c:v>Favrskov </c:v>
                </c:pt>
                <c:pt idx="1">
                  <c:v>Hedensted </c:v>
                </c:pt>
                <c:pt idx="2">
                  <c:v>Herning </c:v>
                </c:pt>
                <c:pt idx="3">
                  <c:v>Holstebro </c:v>
                </c:pt>
                <c:pt idx="4">
                  <c:v>Horsens </c:v>
                </c:pt>
                <c:pt idx="5">
                  <c:v>Ikast-Brande </c:v>
                </c:pt>
                <c:pt idx="6">
                  <c:v>Lemvig </c:v>
                </c:pt>
                <c:pt idx="7">
                  <c:v>Norddjurs </c:v>
                </c:pt>
                <c:pt idx="8">
                  <c:v>Odder </c:v>
                </c:pt>
                <c:pt idx="9">
                  <c:v>Randers </c:v>
                </c:pt>
                <c:pt idx="10">
                  <c:v>Ringkøbing-Skjern </c:v>
                </c:pt>
                <c:pt idx="11">
                  <c:v>Samsø </c:v>
                </c:pt>
                <c:pt idx="12">
                  <c:v>Silkeborg </c:v>
                </c:pt>
                <c:pt idx="13">
                  <c:v>Skanderborg </c:v>
                </c:pt>
                <c:pt idx="14">
                  <c:v>Skive </c:v>
                </c:pt>
                <c:pt idx="15">
                  <c:v>Struer </c:v>
                </c:pt>
                <c:pt idx="16">
                  <c:v>Syddjurs </c:v>
                </c:pt>
                <c:pt idx="17">
                  <c:v>Viborg </c:v>
                </c:pt>
                <c:pt idx="18">
                  <c:v>Århus </c:v>
                </c:pt>
              </c:strCache>
            </c:strRef>
          </c:cat>
          <c:val>
            <c:numRef>
              <c:f>Kommuner!$L$4:$L$22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5-487F-BC48-F9F6CD36E3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20"/>
        <c:axId val="85075840"/>
        <c:axId val="85091072"/>
      </c:barChart>
      <c:catAx>
        <c:axId val="8507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DK"/>
          </a:p>
        </c:txPr>
        <c:crossAx val="85091072"/>
        <c:crosses val="autoZero"/>
        <c:auto val="1"/>
        <c:lblAlgn val="ctr"/>
        <c:lblOffset val="100"/>
        <c:noMultiLvlLbl val="0"/>
      </c:catAx>
      <c:valAx>
        <c:axId val="8509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075840"/>
        <c:crosses val="autoZero"/>
        <c:crossBetween val="between"/>
        <c:majorUnit val="1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20</xdr:row>
      <xdr:rowOff>122632</xdr:rowOff>
    </xdr:from>
    <xdr:to>
      <xdr:col>19</xdr:col>
      <xdr:colOff>214312</xdr:colOff>
      <xdr:row>39</xdr:row>
      <xdr:rowOff>59531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114300</xdr:rowOff>
    </xdr:from>
    <xdr:to>
      <xdr:col>12</xdr:col>
      <xdr:colOff>428625</xdr:colOff>
      <xdr:row>12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</xdr:colOff>
      <xdr:row>0</xdr:row>
      <xdr:rowOff>130969</xdr:rowOff>
    </xdr:from>
    <xdr:to>
      <xdr:col>25</xdr:col>
      <xdr:colOff>107157</xdr:colOff>
      <xdr:row>13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576792</xdr:colOff>
      <xdr:row>13</xdr:row>
      <xdr:rowOff>188383</xdr:rowOff>
    </xdr:from>
    <xdr:to>
      <xdr:col>25</xdr:col>
      <xdr:colOff>154781</xdr:colOff>
      <xdr:row>31</xdr:row>
      <xdr:rowOff>11907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547688</xdr:colOff>
      <xdr:row>32</xdr:row>
      <xdr:rowOff>1852</xdr:rowOff>
    </xdr:from>
    <xdr:to>
      <xdr:col>25</xdr:col>
      <xdr:colOff>166687</xdr:colOff>
      <xdr:row>48</xdr:row>
      <xdr:rowOff>178593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537105</xdr:colOff>
      <xdr:row>50</xdr:row>
      <xdr:rowOff>51594</xdr:rowOff>
    </xdr:from>
    <xdr:to>
      <xdr:col>10</xdr:col>
      <xdr:colOff>124356</xdr:colOff>
      <xdr:row>64</xdr:row>
      <xdr:rowOff>95249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464343</xdr:colOff>
      <xdr:row>65</xdr:row>
      <xdr:rowOff>75404</xdr:rowOff>
    </xdr:from>
    <xdr:to>
      <xdr:col>10</xdr:col>
      <xdr:colOff>119062</xdr:colOff>
      <xdr:row>78</xdr:row>
      <xdr:rowOff>142873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398200</xdr:colOff>
      <xdr:row>50</xdr:row>
      <xdr:rowOff>41012</xdr:rowOff>
    </xdr:from>
    <xdr:to>
      <xdr:col>19</xdr:col>
      <xdr:colOff>592667</xdr:colOff>
      <xdr:row>64</xdr:row>
      <xdr:rowOff>83344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102"/>
  <sheetViews>
    <sheetView tabSelected="1" zoomScale="80" zoomScaleNormal="80" workbookViewId="0">
      <pane ySplit="1" topLeftCell="A17" activePane="bottomLeft" state="frozen"/>
      <selection activeCell="F1" sqref="F1"/>
      <selection pane="bottomLeft" activeCell="D95" sqref="D95"/>
    </sheetView>
  </sheetViews>
  <sheetFormatPr defaultRowHeight="15" x14ac:dyDescent="0.2"/>
  <cols>
    <col min="1" max="1" width="14.390625" customWidth="1"/>
    <col min="2" max="2" width="30.66796875" customWidth="1"/>
    <col min="3" max="3" width="12.5078125" customWidth="1"/>
    <col min="4" max="4" width="48.5625" customWidth="1"/>
    <col min="5" max="5" width="16.0078125" bestFit="1" customWidth="1"/>
    <col min="8" max="8" width="9.953125" bestFit="1" customWidth="1"/>
    <col min="10" max="10" width="11.56640625" bestFit="1" customWidth="1"/>
    <col min="11" max="11" width="9.953125" bestFit="1" customWidth="1"/>
    <col min="13" max="13" width="18.16015625" bestFit="1" customWidth="1"/>
    <col min="14" max="14" width="11.296875" bestFit="1" customWidth="1"/>
  </cols>
  <sheetData>
    <row r="1" spans="1:14" ht="33" customHeight="1" thickBot="1" x14ac:dyDescent="0.25">
      <c r="A1" s="68" t="s">
        <v>0</v>
      </c>
      <c r="B1" s="69"/>
      <c r="C1" s="69"/>
      <c r="D1" s="69"/>
      <c r="E1" s="70"/>
      <c r="F1" s="32" t="s">
        <v>1</v>
      </c>
      <c r="H1" s="71" t="s">
        <v>2</v>
      </c>
      <c r="I1" s="72"/>
      <c r="J1" s="44">
        <f>SUM(H7:H18)</f>
        <v>81</v>
      </c>
      <c r="M1" s="36" t="s">
        <v>3</v>
      </c>
      <c r="N1" s="37">
        <f>AVERAGE(C3:C102)</f>
        <v>0.19454189529035212</v>
      </c>
    </row>
    <row r="2" spans="1:14" x14ac:dyDescent="0.2">
      <c r="A2" s="8" t="s">
        <v>4</v>
      </c>
      <c r="B2" s="8" t="s">
        <v>5</v>
      </c>
      <c r="C2" s="8" t="s">
        <v>6</v>
      </c>
      <c r="D2" s="9" t="s">
        <v>7</v>
      </c>
      <c r="E2" s="9" t="s">
        <v>8</v>
      </c>
    </row>
    <row r="3" spans="1:14" ht="15.75" thickBot="1" x14ac:dyDescent="0.25">
      <c r="A3" s="58">
        <v>1</v>
      </c>
      <c r="B3" s="59">
        <v>43604</v>
      </c>
      <c r="C3" s="60">
        <v>0.19978009259259258</v>
      </c>
      <c r="D3" s="62" t="s">
        <v>9</v>
      </c>
      <c r="E3" s="62" t="s">
        <v>10</v>
      </c>
    </row>
    <row r="4" spans="1:14" ht="15.75" thickTop="1" x14ac:dyDescent="0.2">
      <c r="A4" s="38">
        <v>2</v>
      </c>
      <c r="B4" s="39">
        <v>43958</v>
      </c>
      <c r="C4" s="40">
        <v>0.19128472222222223</v>
      </c>
      <c r="D4" s="41" t="s">
        <v>11</v>
      </c>
      <c r="E4" s="41" t="s">
        <v>12</v>
      </c>
    </row>
    <row r="5" spans="1:14" ht="15.75" thickBot="1" x14ac:dyDescent="0.25">
      <c r="A5" s="8">
        <v>3</v>
      </c>
      <c r="B5" s="34">
        <v>43982</v>
      </c>
      <c r="C5" s="31">
        <v>0.19721064814814815</v>
      </c>
      <c r="D5" s="10" t="s">
        <v>13</v>
      </c>
      <c r="E5" s="10" t="s">
        <v>14</v>
      </c>
    </row>
    <row r="6" spans="1:14" ht="15.75" thickBot="1" x14ac:dyDescent="0.25">
      <c r="A6" s="8">
        <v>4</v>
      </c>
      <c r="B6" s="34">
        <v>44009</v>
      </c>
      <c r="C6" s="31">
        <v>0.21714120370370371</v>
      </c>
      <c r="D6" s="10" t="s">
        <v>15</v>
      </c>
      <c r="E6" s="10" t="s">
        <v>16</v>
      </c>
      <c r="G6" s="14" t="s">
        <v>17</v>
      </c>
      <c r="H6" s="1" t="s">
        <v>18</v>
      </c>
      <c r="J6" s="14" t="s">
        <v>19</v>
      </c>
      <c r="K6" s="17" t="s">
        <v>18</v>
      </c>
    </row>
    <row r="7" spans="1:14" x14ac:dyDescent="0.2">
      <c r="A7" s="8">
        <v>5</v>
      </c>
      <c r="B7" s="34">
        <v>44014</v>
      </c>
      <c r="C7" s="31">
        <v>0.21568287037037037</v>
      </c>
      <c r="D7" s="10" t="s">
        <v>20</v>
      </c>
      <c r="E7" s="10" t="s">
        <v>12</v>
      </c>
      <c r="G7" s="2">
        <v>2019</v>
      </c>
      <c r="H7" s="3">
        <f>SUMPRODUCT(1*(YEAR($B$3:$B$102)=2019))</f>
        <v>1</v>
      </c>
      <c r="J7" s="15" t="s">
        <v>21</v>
      </c>
      <c r="K7" s="35">
        <f>SUMPRODUCT(--(MONTH($B$3:$B$102)=1)*($B$3:$B$102&lt;&gt;""))</f>
        <v>2</v>
      </c>
    </row>
    <row r="8" spans="1:14" ht="15.75" thickBot="1" x14ac:dyDescent="0.25">
      <c r="A8" s="48">
        <v>6</v>
      </c>
      <c r="B8" s="49">
        <v>44030</v>
      </c>
      <c r="C8" s="50">
        <v>0.20861111111111111</v>
      </c>
      <c r="D8" s="52" t="s">
        <v>22</v>
      </c>
      <c r="E8" s="52" t="s">
        <v>23</v>
      </c>
      <c r="G8" s="4">
        <v>2020</v>
      </c>
      <c r="H8" s="5">
        <f>SUMPRODUCT(1*(YEAR($B$3:$B$102)=2020))</f>
        <v>5</v>
      </c>
      <c r="J8" s="4" t="s">
        <v>24</v>
      </c>
      <c r="K8" s="16">
        <f>SUMPRODUCT(1*(MONTH($B$3:$B$102)=2))</f>
        <v>4</v>
      </c>
    </row>
    <row r="9" spans="1:14" ht="16.5" thickTop="1" thickBot="1" x14ac:dyDescent="0.25">
      <c r="A9" s="64">
        <v>7</v>
      </c>
      <c r="B9" s="65">
        <v>44772</v>
      </c>
      <c r="C9" s="66">
        <v>0.19751157407407408</v>
      </c>
      <c r="D9" s="67" t="s">
        <v>25</v>
      </c>
      <c r="E9" s="67" t="s">
        <v>26</v>
      </c>
      <c r="G9" s="4">
        <v>2021</v>
      </c>
      <c r="H9" s="5">
        <f>SUMPRODUCT(1*(YEAR($B$3:$B$102)=2021))</f>
        <v>0</v>
      </c>
      <c r="J9" s="4" t="s">
        <v>27</v>
      </c>
      <c r="K9" s="16">
        <f>SUMPRODUCT(1*(MONTH($B$3:$B$102)=3))</f>
        <v>12</v>
      </c>
    </row>
    <row r="10" spans="1:14" ht="15.75" thickTop="1" x14ac:dyDescent="0.2">
      <c r="A10" s="38">
        <v>8</v>
      </c>
      <c r="B10" s="39">
        <v>44933</v>
      </c>
      <c r="C10" s="40">
        <v>0.18339120370370368</v>
      </c>
      <c r="D10" s="41" t="s">
        <v>28</v>
      </c>
      <c r="E10" s="41" t="s">
        <v>29</v>
      </c>
      <c r="G10" s="4">
        <v>2022</v>
      </c>
      <c r="H10" s="5">
        <f>SUMPRODUCT(1*(YEAR($B$3:$B$102)=2022))</f>
        <v>1</v>
      </c>
      <c r="J10" s="4" t="s">
        <v>30</v>
      </c>
      <c r="K10" s="16">
        <f>SUMPRODUCT(1*(MONTH($B$3:$B$102)=4))</f>
        <v>17</v>
      </c>
    </row>
    <row r="11" spans="1:14" x14ac:dyDescent="0.2">
      <c r="A11" s="8">
        <v>9</v>
      </c>
      <c r="B11" s="34">
        <v>44948</v>
      </c>
      <c r="C11" s="31">
        <v>0.17666666666666667</v>
      </c>
      <c r="D11" s="10" t="s">
        <v>31</v>
      </c>
      <c r="E11" s="10" t="s">
        <v>14</v>
      </c>
      <c r="G11" s="4">
        <v>2023</v>
      </c>
      <c r="H11" s="5">
        <f>SUMPRODUCT(1*(YEAR($B$3:$B$102)=2023))</f>
        <v>21</v>
      </c>
      <c r="J11" s="4" t="s">
        <v>32</v>
      </c>
      <c r="K11" s="16">
        <f>SUMPRODUCT(1*(MONTH($B$3:$B$102)=5))</f>
        <v>10</v>
      </c>
    </row>
    <row r="12" spans="1:14" x14ac:dyDescent="0.2">
      <c r="A12" s="8">
        <v>10</v>
      </c>
      <c r="B12" s="34">
        <v>44962</v>
      </c>
      <c r="C12" s="31">
        <v>0.17180555555555554</v>
      </c>
      <c r="D12" s="10" t="s">
        <v>33</v>
      </c>
      <c r="E12" s="10" t="s">
        <v>34</v>
      </c>
      <c r="G12" s="4">
        <v>2024</v>
      </c>
      <c r="H12" s="5">
        <f>SUMPRODUCT(1*(YEAR($B$3:$B$102)=2024))</f>
        <v>16</v>
      </c>
      <c r="J12" s="4" t="s">
        <v>35</v>
      </c>
      <c r="K12" s="16">
        <f>SUMPRODUCT(1*(MONTH($B$3:$B$102)=6))</f>
        <v>8</v>
      </c>
    </row>
    <row r="13" spans="1:14" x14ac:dyDescent="0.2">
      <c r="A13" s="8">
        <v>11</v>
      </c>
      <c r="B13" s="34">
        <v>44976</v>
      </c>
      <c r="C13" s="31">
        <v>0.17756944444444445</v>
      </c>
      <c r="D13" s="10" t="s">
        <v>36</v>
      </c>
      <c r="E13" s="10" t="s">
        <v>37</v>
      </c>
      <c r="G13" s="4">
        <v>2025</v>
      </c>
      <c r="H13" s="5">
        <f>SUMPRODUCT(1*(YEAR($B$3:$B$102)=2025))</f>
        <v>31</v>
      </c>
      <c r="J13" s="4" t="s">
        <v>38</v>
      </c>
      <c r="K13" s="16">
        <f>SUMPRODUCT(1*(MONTH($B$3:$B$102)=7))</f>
        <v>7</v>
      </c>
    </row>
    <row r="14" spans="1:14" x14ac:dyDescent="0.2">
      <c r="A14" s="8">
        <v>12</v>
      </c>
      <c r="B14" s="34">
        <v>45004</v>
      </c>
      <c r="C14" s="31">
        <v>0.18763888888888888</v>
      </c>
      <c r="D14" s="10" t="s">
        <v>39</v>
      </c>
      <c r="E14" s="10" t="s">
        <v>10</v>
      </c>
      <c r="G14" s="4">
        <v>2026</v>
      </c>
      <c r="H14" s="5">
        <f>SUMPRODUCT(1*(YEAR($B$3:$B$102)=2026))</f>
        <v>6</v>
      </c>
      <c r="J14" s="4" t="s">
        <v>40</v>
      </c>
      <c r="K14" s="16">
        <f>SUMPRODUCT(1*(MONTH($B$3:$B$102)=8))</f>
        <v>4</v>
      </c>
    </row>
    <row r="15" spans="1:14" x14ac:dyDescent="0.2">
      <c r="A15" s="8">
        <v>13</v>
      </c>
      <c r="B15" s="34">
        <v>45009</v>
      </c>
      <c r="C15" s="31">
        <v>0.22287037037037039</v>
      </c>
      <c r="D15" s="10" t="s">
        <v>232</v>
      </c>
      <c r="E15" s="10" t="s">
        <v>41</v>
      </c>
      <c r="G15" s="4">
        <v>2027</v>
      </c>
      <c r="H15" s="5">
        <f>SUMPRODUCT(1*(YEAR($B$3:$B$102)=2027))</f>
        <v>0</v>
      </c>
      <c r="J15" s="4" t="s">
        <v>42</v>
      </c>
      <c r="K15" s="16">
        <f>SUMPRODUCT(1*(MONTH($B$3:$B$102)=9))</f>
        <v>4</v>
      </c>
    </row>
    <row r="16" spans="1:14" x14ac:dyDescent="0.2">
      <c r="A16" s="8">
        <v>14</v>
      </c>
      <c r="B16" s="34">
        <v>45010</v>
      </c>
      <c r="C16" s="31">
        <v>0.18721064814814814</v>
      </c>
      <c r="D16" s="10" t="s">
        <v>233</v>
      </c>
      <c r="E16" s="10" t="s">
        <v>43</v>
      </c>
      <c r="G16" s="4">
        <v>2028</v>
      </c>
      <c r="H16" s="5">
        <f>SUMPRODUCT(1*(YEAR($B$3:$B$102)=2028))</f>
        <v>0</v>
      </c>
      <c r="J16" s="4" t="s">
        <v>44</v>
      </c>
      <c r="K16" s="16">
        <f>SUMPRODUCT(1*(MONTH($B$3:$B$102)=10))</f>
        <v>3</v>
      </c>
    </row>
    <row r="17" spans="1:11" x14ac:dyDescent="0.2">
      <c r="A17" s="8">
        <v>15</v>
      </c>
      <c r="B17" s="34">
        <v>45011</v>
      </c>
      <c r="C17" s="31">
        <v>0.19805555555555557</v>
      </c>
      <c r="D17" s="11" t="s">
        <v>234</v>
      </c>
      <c r="E17" s="10" t="s">
        <v>45</v>
      </c>
      <c r="G17" s="4">
        <v>2029</v>
      </c>
      <c r="H17" s="5">
        <f>SUMPRODUCT(1*(YEAR($B$3:$B$102)=2029))</f>
        <v>0</v>
      </c>
      <c r="J17" s="4" t="s">
        <v>46</v>
      </c>
      <c r="K17" s="16">
        <f>SUMPRODUCT(1*(MONTH($B$3:$B$102)=11))</f>
        <v>4</v>
      </c>
    </row>
    <row r="18" spans="1:11" ht="15.75" thickBot="1" x14ac:dyDescent="0.25">
      <c r="A18" s="8">
        <v>16</v>
      </c>
      <c r="B18" s="34">
        <v>45014</v>
      </c>
      <c r="C18" s="31">
        <v>0.18269675925925924</v>
      </c>
      <c r="D18" s="11" t="s">
        <v>47</v>
      </c>
      <c r="E18" s="10" t="s">
        <v>26</v>
      </c>
      <c r="G18" s="6">
        <v>2030</v>
      </c>
      <c r="H18" s="7">
        <f>SUMPRODUCT(1*(YEAR($B$3:$B$102)=2030))</f>
        <v>0</v>
      </c>
      <c r="J18" s="6" t="s">
        <v>48</v>
      </c>
      <c r="K18" s="18">
        <f>SUMPRODUCT(1*(MONTH($B$3:$B$102)=12))</f>
        <v>6</v>
      </c>
    </row>
    <row r="19" spans="1:11" ht="15.75" thickBot="1" x14ac:dyDescent="0.25">
      <c r="A19" s="8">
        <v>17</v>
      </c>
      <c r="B19" s="34">
        <v>45018</v>
      </c>
      <c r="C19" s="31">
        <v>0.18865740740740741</v>
      </c>
      <c r="D19" s="10" t="s">
        <v>49</v>
      </c>
      <c r="E19" s="10" t="s">
        <v>14</v>
      </c>
      <c r="H19" s="19">
        <f>SUM(H7:H18)</f>
        <v>81</v>
      </c>
      <c r="K19" s="19">
        <f>SUM(K7:K18)</f>
        <v>81</v>
      </c>
    </row>
    <row r="20" spans="1:11" x14ac:dyDescent="0.2">
      <c r="A20" s="8">
        <v>18</v>
      </c>
      <c r="B20" s="34">
        <v>45022</v>
      </c>
      <c r="C20" s="31">
        <v>0.17383101851851854</v>
      </c>
      <c r="D20" s="10" t="s">
        <v>50</v>
      </c>
      <c r="E20" s="10" t="s">
        <v>26</v>
      </c>
    </row>
    <row r="21" spans="1:11" x14ac:dyDescent="0.2">
      <c r="A21" s="8">
        <v>19</v>
      </c>
      <c r="B21" s="34">
        <v>45024</v>
      </c>
      <c r="C21" s="31">
        <v>0.18666666666666668</v>
      </c>
      <c r="D21" s="10" t="s">
        <v>51</v>
      </c>
      <c r="E21" s="10" t="s">
        <v>52</v>
      </c>
    </row>
    <row r="22" spans="1:11" x14ac:dyDescent="0.2">
      <c r="A22" s="8">
        <v>20</v>
      </c>
      <c r="B22" s="34">
        <v>45025</v>
      </c>
      <c r="C22" s="31">
        <v>0.19819444444444445</v>
      </c>
      <c r="D22" s="10" t="s">
        <v>53</v>
      </c>
      <c r="E22" s="10" t="s">
        <v>34</v>
      </c>
    </row>
    <row r="23" spans="1:11" x14ac:dyDescent="0.2">
      <c r="A23" s="8">
        <v>21</v>
      </c>
      <c r="B23" s="34">
        <v>45036</v>
      </c>
      <c r="C23" s="31">
        <v>0.18665509259259261</v>
      </c>
      <c r="D23" s="10" t="s">
        <v>54</v>
      </c>
      <c r="E23" s="10" t="s">
        <v>26</v>
      </c>
    </row>
    <row r="24" spans="1:11" x14ac:dyDescent="0.2">
      <c r="A24" s="8">
        <v>22</v>
      </c>
      <c r="B24" s="34">
        <v>45046</v>
      </c>
      <c r="C24" s="31">
        <v>0.20311342592592593</v>
      </c>
      <c r="D24" s="10" t="s">
        <v>55</v>
      </c>
      <c r="E24" s="10" t="s">
        <v>56</v>
      </c>
    </row>
    <row r="25" spans="1:11" x14ac:dyDescent="0.2">
      <c r="A25" s="8">
        <v>23</v>
      </c>
      <c r="B25" s="34">
        <v>45060</v>
      </c>
      <c r="C25" s="31">
        <v>0.18856481481481482</v>
      </c>
      <c r="D25" s="10" t="s">
        <v>57</v>
      </c>
      <c r="E25" s="10" t="s">
        <v>10</v>
      </c>
    </row>
    <row r="26" spans="1:11" x14ac:dyDescent="0.2">
      <c r="A26" s="8">
        <v>24</v>
      </c>
      <c r="B26" s="34">
        <v>45074</v>
      </c>
      <c r="C26" s="31">
        <v>0.20020833333333332</v>
      </c>
      <c r="D26" s="12" t="s">
        <v>58</v>
      </c>
      <c r="E26" s="10" t="s">
        <v>26</v>
      </c>
    </row>
    <row r="27" spans="1:11" x14ac:dyDescent="0.2">
      <c r="A27" s="8">
        <v>25</v>
      </c>
      <c r="B27" s="34">
        <v>45087</v>
      </c>
      <c r="C27" s="31">
        <v>0.16925925925925925</v>
      </c>
      <c r="D27" s="12" t="s">
        <v>59</v>
      </c>
      <c r="E27" s="10" t="s">
        <v>10</v>
      </c>
    </row>
    <row r="28" spans="1:11" x14ac:dyDescent="0.2">
      <c r="A28" s="8">
        <v>26</v>
      </c>
      <c r="B28" s="34">
        <v>45102</v>
      </c>
      <c r="C28" s="31">
        <v>0.18956018518518516</v>
      </c>
      <c r="D28" s="12" t="s">
        <v>60</v>
      </c>
      <c r="E28" s="10" t="s">
        <v>61</v>
      </c>
    </row>
    <row r="29" spans="1:11" x14ac:dyDescent="0.2">
      <c r="A29" s="8">
        <v>27</v>
      </c>
      <c r="B29" s="34">
        <v>45129</v>
      </c>
      <c r="C29" s="31">
        <v>0.18111111111111111</v>
      </c>
      <c r="D29" s="12" t="s">
        <v>62</v>
      </c>
      <c r="E29" s="10" t="s">
        <v>23</v>
      </c>
    </row>
    <row r="30" spans="1:11" ht="15.75" thickBot="1" x14ac:dyDescent="0.25">
      <c r="A30" s="58">
        <v>28</v>
      </c>
      <c r="B30" s="59">
        <v>45199</v>
      </c>
      <c r="C30" s="60">
        <v>0.20738425925925927</v>
      </c>
      <c r="D30" s="63" t="s">
        <v>63</v>
      </c>
      <c r="E30" s="62" t="s">
        <v>64</v>
      </c>
    </row>
    <row r="31" spans="1:11" ht="15.75" thickTop="1" x14ac:dyDescent="0.2">
      <c r="A31" s="38">
        <v>29</v>
      </c>
      <c r="B31" s="39">
        <v>45373</v>
      </c>
      <c r="C31" s="40">
        <v>0.18152777777777776</v>
      </c>
      <c r="D31" s="42" t="s">
        <v>235</v>
      </c>
      <c r="E31" s="41" t="s">
        <v>14</v>
      </c>
    </row>
    <row r="32" spans="1:11" x14ac:dyDescent="0.2">
      <c r="A32" s="8">
        <v>30</v>
      </c>
      <c r="B32" s="34">
        <v>45374</v>
      </c>
      <c r="C32" s="31">
        <v>0.18365740740740741</v>
      </c>
      <c r="D32" s="12" t="s">
        <v>236</v>
      </c>
      <c r="E32" s="10" t="s">
        <v>65</v>
      </c>
    </row>
    <row r="33" spans="1:5" x14ac:dyDescent="0.2">
      <c r="A33" s="8">
        <v>31</v>
      </c>
      <c r="B33" s="34">
        <v>45375</v>
      </c>
      <c r="C33" s="31">
        <v>0.18353009259259259</v>
      </c>
      <c r="D33" s="12" t="s">
        <v>237</v>
      </c>
      <c r="E33" s="10" t="s">
        <v>66</v>
      </c>
    </row>
    <row r="34" spans="1:5" x14ac:dyDescent="0.2">
      <c r="A34" s="8">
        <v>32</v>
      </c>
      <c r="B34" s="34">
        <v>45379</v>
      </c>
      <c r="C34" s="31">
        <v>0.17370370370370369</v>
      </c>
      <c r="D34" s="13" t="s">
        <v>67</v>
      </c>
      <c r="E34" s="10" t="s">
        <v>68</v>
      </c>
    </row>
    <row r="35" spans="1:5" ht="16.5" customHeight="1" x14ac:dyDescent="0.2">
      <c r="A35" s="8">
        <v>33</v>
      </c>
      <c r="B35" s="34">
        <v>45409</v>
      </c>
      <c r="C35" s="31">
        <v>0.19300925925925927</v>
      </c>
      <c r="D35" s="13" t="s">
        <v>69</v>
      </c>
      <c r="E35" s="10" t="s">
        <v>56</v>
      </c>
    </row>
    <row r="36" spans="1:5" x14ac:dyDescent="0.2">
      <c r="A36" s="8">
        <v>34</v>
      </c>
      <c r="B36" s="34">
        <v>45424</v>
      </c>
      <c r="C36" s="31">
        <v>0.23299768518518518</v>
      </c>
      <c r="D36" s="13" t="s">
        <v>70</v>
      </c>
      <c r="E36" s="10" t="s">
        <v>71</v>
      </c>
    </row>
    <row r="37" spans="1:5" x14ac:dyDescent="0.2">
      <c r="A37" s="8">
        <v>35</v>
      </c>
      <c r="B37" s="34">
        <v>45437</v>
      </c>
      <c r="C37" s="31">
        <v>0.22461805555555556</v>
      </c>
      <c r="D37" s="13" t="s">
        <v>72</v>
      </c>
      <c r="E37" s="10" t="s">
        <v>73</v>
      </c>
    </row>
    <row r="38" spans="1:5" x14ac:dyDescent="0.2">
      <c r="A38" s="8">
        <v>36</v>
      </c>
      <c r="B38" s="34">
        <v>45451</v>
      </c>
      <c r="C38" s="31">
        <v>0.21155092592592592</v>
      </c>
      <c r="D38" s="13" t="s">
        <v>74</v>
      </c>
      <c r="E38" s="10" t="s">
        <v>75</v>
      </c>
    </row>
    <row r="39" spans="1:5" x14ac:dyDescent="0.2">
      <c r="A39" s="8">
        <v>37</v>
      </c>
      <c r="B39" s="34">
        <v>45466</v>
      </c>
      <c r="C39" s="31">
        <v>0.2069212962962963</v>
      </c>
      <c r="D39" s="13" t="s">
        <v>76</v>
      </c>
      <c r="E39" s="10" t="s">
        <v>52</v>
      </c>
    </row>
    <row r="40" spans="1:5" x14ac:dyDescent="0.2">
      <c r="A40" s="8">
        <v>38</v>
      </c>
      <c r="B40" s="34">
        <v>45500</v>
      </c>
      <c r="C40" s="31">
        <v>0.20442129629629627</v>
      </c>
      <c r="D40" s="13" t="s">
        <v>77</v>
      </c>
      <c r="E40" s="10" t="s">
        <v>23</v>
      </c>
    </row>
    <row r="41" spans="1:5" x14ac:dyDescent="0.2">
      <c r="A41" s="8">
        <v>39</v>
      </c>
      <c r="B41" s="34">
        <v>45508</v>
      </c>
      <c r="C41" s="31">
        <v>0.18541666666666667</v>
      </c>
      <c r="D41" s="13" t="s">
        <v>78</v>
      </c>
      <c r="E41" s="10" t="s">
        <v>23</v>
      </c>
    </row>
    <row r="42" spans="1:5" x14ac:dyDescent="0.2">
      <c r="A42" s="8">
        <v>40</v>
      </c>
      <c r="B42" s="34">
        <v>45522</v>
      </c>
      <c r="C42" s="31">
        <v>0.20174768518518518</v>
      </c>
      <c r="D42" s="13" t="s">
        <v>79</v>
      </c>
      <c r="E42" s="10" t="s">
        <v>23</v>
      </c>
    </row>
    <row r="43" spans="1:5" x14ac:dyDescent="0.2">
      <c r="A43" s="8">
        <v>41</v>
      </c>
      <c r="B43" s="34">
        <v>45557</v>
      </c>
      <c r="C43" s="31">
        <v>0.19511574074074076</v>
      </c>
      <c r="D43" s="13" t="s">
        <v>80</v>
      </c>
      <c r="E43" s="10" t="s">
        <v>68</v>
      </c>
    </row>
    <row r="44" spans="1:5" x14ac:dyDescent="0.2">
      <c r="A44" s="8">
        <v>42</v>
      </c>
      <c r="B44" s="34">
        <v>45577</v>
      </c>
      <c r="C44" s="31">
        <v>0.20603009259259261</v>
      </c>
      <c r="D44" s="13" t="s">
        <v>81</v>
      </c>
      <c r="E44" s="10" t="s">
        <v>52</v>
      </c>
    </row>
    <row r="45" spans="1:5" ht="16.5" customHeight="1" x14ac:dyDescent="0.2">
      <c r="A45" s="8">
        <v>43</v>
      </c>
      <c r="B45" s="34">
        <v>45634</v>
      </c>
      <c r="C45" s="31">
        <v>0.18475694444444446</v>
      </c>
      <c r="D45" s="13" t="s">
        <v>82</v>
      </c>
      <c r="E45" s="10" t="s">
        <v>29</v>
      </c>
    </row>
    <row r="46" spans="1:5" ht="15.75" thickBot="1" x14ac:dyDescent="0.25">
      <c r="A46" s="58">
        <v>44</v>
      </c>
      <c r="B46" s="59">
        <v>45648</v>
      </c>
      <c r="C46" s="60">
        <v>0.19986111111111113</v>
      </c>
      <c r="D46" s="61" t="s">
        <v>83</v>
      </c>
      <c r="E46" s="62" t="s">
        <v>16</v>
      </c>
    </row>
    <row r="47" spans="1:5" ht="15.75" thickTop="1" x14ac:dyDescent="0.2">
      <c r="A47" s="38">
        <v>45</v>
      </c>
      <c r="B47" s="39">
        <v>45689</v>
      </c>
      <c r="C47" s="40">
        <v>0.18877314814814816</v>
      </c>
      <c r="D47" s="43" t="s">
        <v>84</v>
      </c>
      <c r="E47" s="41" t="s">
        <v>29</v>
      </c>
    </row>
    <row r="48" spans="1:5" x14ac:dyDescent="0.2">
      <c r="A48" s="8">
        <v>46</v>
      </c>
      <c r="B48" s="34">
        <v>45704</v>
      </c>
      <c r="C48" s="31">
        <v>0.1907986111111111</v>
      </c>
      <c r="D48" s="13" t="s">
        <v>85</v>
      </c>
      <c r="E48" s="10" t="s">
        <v>86</v>
      </c>
    </row>
    <row r="49" spans="1:5" x14ac:dyDescent="0.2">
      <c r="A49" s="8">
        <v>47</v>
      </c>
      <c r="B49" s="34">
        <v>45717</v>
      </c>
      <c r="C49" s="31">
        <v>0.20216435185185186</v>
      </c>
      <c r="D49" s="13" t="s">
        <v>87</v>
      </c>
      <c r="E49" s="10" t="s">
        <v>88</v>
      </c>
    </row>
    <row r="50" spans="1:5" x14ac:dyDescent="0.2">
      <c r="A50" s="8">
        <v>48</v>
      </c>
      <c r="B50" s="34">
        <v>45745</v>
      </c>
      <c r="C50" s="31">
        <v>0.18256944444444445</v>
      </c>
      <c r="D50" s="13" t="s">
        <v>89</v>
      </c>
      <c r="E50" s="10" t="s">
        <v>52</v>
      </c>
    </row>
    <row r="51" spans="1:5" x14ac:dyDescent="0.2">
      <c r="A51" s="8">
        <v>49</v>
      </c>
      <c r="B51" s="34">
        <v>45751</v>
      </c>
      <c r="C51" s="31">
        <v>0.18934027777777776</v>
      </c>
      <c r="D51" s="42" t="s">
        <v>238</v>
      </c>
      <c r="E51" s="10" t="s">
        <v>90</v>
      </c>
    </row>
    <row r="52" spans="1:5" x14ac:dyDescent="0.2">
      <c r="A52" s="8">
        <v>50</v>
      </c>
      <c r="B52" s="34">
        <v>45752</v>
      </c>
      <c r="C52" s="31">
        <v>0.19358796296296296</v>
      </c>
      <c r="D52" s="42" t="s">
        <v>239</v>
      </c>
      <c r="E52" s="10" t="s">
        <v>91</v>
      </c>
    </row>
    <row r="53" spans="1:5" x14ac:dyDescent="0.2">
      <c r="A53" s="8">
        <v>51</v>
      </c>
      <c r="B53" s="34">
        <v>45753</v>
      </c>
      <c r="C53" s="31">
        <v>0.18930555555555553</v>
      </c>
      <c r="D53" s="42" t="s">
        <v>240</v>
      </c>
      <c r="E53" s="10" t="s">
        <v>92</v>
      </c>
    </row>
    <row r="54" spans="1:5" x14ac:dyDescent="0.2">
      <c r="A54" s="8">
        <v>52</v>
      </c>
      <c r="B54" s="34">
        <v>45760</v>
      </c>
      <c r="C54" s="31">
        <v>0.18158564814814815</v>
      </c>
      <c r="D54" s="13" t="s">
        <v>93</v>
      </c>
      <c r="E54" s="10" t="s">
        <v>52</v>
      </c>
    </row>
    <row r="55" spans="1:5" x14ac:dyDescent="0.2">
      <c r="A55" s="8">
        <v>53</v>
      </c>
      <c r="B55" s="34">
        <v>45774</v>
      </c>
      <c r="C55" s="31">
        <v>0.19400462962962961</v>
      </c>
      <c r="D55" s="13" t="s">
        <v>94</v>
      </c>
      <c r="E55" s="10" t="s">
        <v>88</v>
      </c>
    </row>
    <row r="56" spans="1:5" x14ac:dyDescent="0.2">
      <c r="A56" s="8">
        <v>54</v>
      </c>
      <c r="B56" s="34">
        <v>45780</v>
      </c>
      <c r="C56" s="31">
        <v>0.17663194444444444</v>
      </c>
      <c r="D56" s="13" t="s">
        <v>95</v>
      </c>
      <c r="E56" s="10" t="s">
        <v>96</v>
      </c>
    </row>
    <row r="57" spans="1:5" x14ac:dyDescent="0.2">
      <c r="A57" s="8">
        <v>55</v>
      </c>
      <c r="B57" s="34">
        <v>45788</v>
      </c>
      <c r="C57" s="31">
        <v>0.16570601851851852</v>
      </c>
      <c r="D57" s="13" t="s">
        <v>97</v>
      </c>
      <c r="E57" s="10" t="s">
        <v>10</v>
      </c>
    </row>
    <row r="58" spans="1:5" x14ac:dyDescent="0.2">
      <c r="A58" s="8">
        <v>56</v>
      </c>
      <c r="B58" s="34">
        <v>45801</v>
      </c>
      <c r="C58" s="31">
        <v>0.20291666666666666</v>
      </c>
      <c r="D58" s="13" t="s">
        <v>98</v>
      </c>
      <c r="E58" s="10" t="s">
        <v>73</v>
      </c>
    </row>
    <row r="59" spans="1:5" x14ac:dyDescent="0.2">
      <c r="A59" s="8">
        <v>57</v>
      </c>
      <c r="B59" s="34">
        <v>45809</v>
      </c>
      <c r="C59" s="45">
        <v>0.20751157407407406</v>
      </c>
      <c r="D59" s="46" t="s">
        <v>99</v>
      </c>
      <c r="E59" s="47" t="s">
        <v>26</v>
      </c>
    </row>
    <row r="60" spans="1:5" x14ac:dyDescent="0.2">
      <c r="A60" s="8">
        <v>58</v>
      </c>
      <c r="B60" s="34">
        <v>45822</v>
      </c>
      <c r="C60" s="45">
        <v>0.19981481481481481</v>
      </c>
      <c r="D60" s="46" t="s">
        <v>100</v>
      </c>
      <c r="E60" s="47" t="s">
        <v>73</v>
      </c>
    </row>
    <row r="61" spans="1:5" x14ac:dyDescent="0.2">
      <c r="A61" s="8">
        <v>59</v>
      </c>
      <c r="B61" s="34">
        <v>45835</v>
      </c>
      <c r="C61" s="45">
        <v>0.1824537037037037</v>
      </c>
      <c r="D61" s="46" t="s">
        <v>101</v>
      </c>
      <c r="E61" s="47" t="s">
        <v>14</v>
      </c>
    </row>
    <row r="62" spans="1:5" x14ac:dyDescent="0.2">
      <c r="A62" s="8">
        <v>60</v>
      </c>
      <c r="B62" s="34">
        <v>45851</v>
      </c>
      <c r="C62" s="45">
        <v>0.19879629629629628</v>
      </c>
      <c r="D62" s="46" t="s">
        <v>102</v>
      </c>
      <c r="E62" s="47" t="s">
        <v>103</v>
      </c>
    </row>
    <row r="63" spans="1:5" x14ac:dyDescent="0.2">
      <c r="A63" s="8">
        <v>61</v>
      </c>
      <c r="B63" s="34">
        <v>45864</v>
      </c>
      <c r="C63" s="45">
        <v>0.20626157407407408</v>
      </c>
      <c r="D63" s="46" t="s">
        <v>104</v>
      </c>
      <c r="E63" s="47" t="s">
        <v>43</v>
      </c>
    </row>
    <row r="64" spans="1:5" x14ac:dyDescent="0.2">
      <c r="A64" s="8">
        <v>62</v>
      </c>
      <c r="B64" s="34">
        <v>45871</v>
      </c>
      <c r="C64" s="45">
        <v>0.18923611111111113</v>
      </c>
      <c r="D64" s="46" t="s">
        <v>105</v>
      </c>
      <c r="E64" s="46" t="s">
        <v>106</v>
      </c>
    </row>
    <row r="65" spans="1:5" x14ac:dyDescent="0.2">
      <c r="A65" s="8">
        <v>63</v>
      </c>
      <c r="B65" s="34">
        <v>45878</v>
      </c>
      <c r="C65" s="45">
        <v>0.19824074074074075</v>
      </c>
      <c r="D65" s="46" t="s">
        <v>107</v>
      </c>
      <c r="E65" s="47" t="s">
        <v>108</v>
      </c>
    </row>
    <row r="66" spans="1:5" x14ac:dyDescent="0.2">
      <c r="A66" s="8">
        <v>64</v>
      </c>
      <c r="B66" s="34">
        <v>45905</v>
      </c>
      <c r="C66" s="31">
        <v>0.21023148148148149</v>
      </c>
      <c r="D66" s="13" t="s">
        <v>109</v>
      </c>
      <c r="E66" s="10" t="s">
        <v>16</v>
      </c>
    </row>
    <row r="67" spans="1:5" x14ac:dyDescent="0.2">
      <c r="A67" s="8">
        <v>65</v>
      </c>
      <c r="B67" s="34">
        <v>45920</v>
      </c>
      <c r="C67" s="31">
        <v>0.19688657407407406</v>
      </c>
      <c r="D67" s="13" t="s">
        <v>110</v>
      </c>
      <c r="E67" s="10" t="s">
        <v>10</v>
      </c>
    </row>
    <row r="68" spans="1:5" x14ac:dyDescent="0.2">
      <c r="A68" s="8">
        <v>66</v>
      </c>
      <c r="B68" s="34">
        <v>45934</v>
      </c>
      <c r="C68" s="31">
        <v>0.19072916666666667</v>
      </c>
      <c r="D68" s="13" t="s">
        <v>111</v>
      </c>
      <c r="E68" s="10" t="s">
        <v>16</v>
      </c>
    </row>
    <row r="69" spans="1:5" x14ac:dyDescent="0.2">
      <c r="A69" s="8">
        <v>67</v>
      </c>
      <c r="B69" s="34">
        <v>45947</v>
      </c>
      <c r="C69" s="31">
        <v>0.20685185185185184</v>
      </c>
      <c r="D69" s="13" t="s">
        <v>101</v>
      </c>
      <c r="E69" s="10" t="s">
        <v>14</v>
      </c>
    </row>
    <row r="70" spans="1:5" x14ac:dyDescent="0.2">
      <c r="A70" s="8">
        <v>68</v>
      </c>
      <c r="B70" s="34">
        <v>45962</v>
      </c>
      <c r="C70" s="31">
        <v>0.20776620370370369</v>
      </c>
      <c r="D70" s="13" t="s">
        <v>112</v>
      </c>
      <c r="E70" s="10" t="s">
        <v>41</v>
      </c>
    </row>
    <row r="71" spans="1:5" x14ac:dyDescent="0.2">
      <c r="A71" s="8">
        <v>69</v>
      </c>
      <c r="B71" s="34">
        <v>45976</v>
      </c>
      <c r="C71" s="31">
        <v>0.176875</v>
      </c>
      <c r="D71" s="13" t="s">
        <v>113</v>
      </c>
      <c r="E71" s="10" t="s">
        <v>10</v>
      </c>
    </row>
    <row r="72" spans="1:5" x14ac:dyDescent="0.2">
      <c r="A72" s="8">
        <v>70</v>
      </c>
      <c r="B72" s="34">
        <v>45989</v>
      </c>
      <c r="C72" s="31">
        <v>0.18425925925925926</v>
      </c>
      <c r="D72" s="13" t="s">
        <v>101</v>
      </c>
      <c r="E72" s="10" t="s">
        <v>14</v>
      </c>
    </row>
    <row r="73" spans="1:5" x14ac:dyDescent="0.2">
      <c r="A73" s="8">
        <v>71</v>
      </c>
      <c r="B73" s="34">
        <v>45991</v>
      </c>
      <c r="C73" s="31">
        <v>0.18559027777777778</v>
      </c>
      <c r="D73" s="46" t="s">
        <v>220</v>
      </c>
      <c r="E73" s="10" t="s">
        <v>16</v>
      </c>
    </row>
    <row r="74" spans="1:5" x14ac:dyDescent="0.2">
      <c r="A74" s="8">
        <v>72</v>
      </c>
      <c r="B74" s="34">
        <v>45998</v>
      </c>
      <c r="C74" s="31">
        <v>0.21657407407407406</v>
      </c>
      <c r="D74" s="46" t="s">
        <v>221</v>
      </c>
      <c r="E74" s="10" t="s">
        <v>222</v>
      </c>
    </row>
    <row r="75" spans="1:5" x14ac:dyDescent="0.2">
      <c r="A75" s="8">
        <v>73</v>
      </c>
      <c r="B75" s="34">
        <v>46005</v>
      </c>
      <c r="C75" s="31">
        <v>0.20072916666666665</v>
      </c>
      <c r="D75" s="46" t="s">
        <v>223</v>
      </c>
      <c r="E75" s="10" t="s">
        <v>16</v>
      </c>
    </row>
    <row r="76" spans="1:5" x14ac:dyDescent="0.2">
      <c r="A76" s="48">
        <v>74</v>
      </c>
      <c r="B76" s="49">
        <v>46012</v>
      </c>
      <c r="C76" s="50">
        <v>0.1917824074074074</v>
      </c>
      <c r="D76" s="51" t="s">
        <v>224</v>
      </c>
      <c r="E76" s="52" t="s">
        <v>16</v>
      </c>
    </row>
    <row r="77" spans="1:5" ht="15.75" thickBot="1" x14ac:dyDescent="0.25">
      <c r="A77" s="53">
        <v>75</v>
      </c>
      <c r="B77" s="54">
        <v>46018</v>
      </c>
      <c r="C77" s="55">
        <v>0.20225694444444445</v>
      </c>
      <c r="D77" s="56" t="s">
        <v>225</v>
      </c>
      <c r="E77" s="57" t="s">
        <v>226</v>
      </c>
    </row>
    <row r="78" spans="1:5" ht="15.75" thickTop="1" x14ac:dyDescent="0.2">
      <c r="A78" s="38">
        <v>76</v>
      </c>
      <c r="B78" s="39">
        <v>46102</v>
      </c>
      <c r="C78" s="40">
        <v>0.1852662037037037</v>
      </c>
      <c r="D78" s="43" t="s">
        <v>228</v>
      </c>
      <c r="E78" s="41" t="s">
        <v>227</v>
      </c>
    </row>
    <row r="79" spans="1:5" x14ac:dyDescent="0.2">
      <c r="A79" s="8">
        <v>77</v>
      </c>
      <c r="B79" s="34">
        <v>46115</v>
      </c>
      <c r="C79" s="31">
        <v>0.19023148148148147</v>
      </c>
      <c r="D79" s="13" t="s">
        <v>229</v>
      </c>
      <c r="E79" s="10" t="s">
        <v>26</v>
      </c>
    </row>
    <row r="80" spans="1:5" x14ac:dyDescent="0.2">
      <c r="A80" s="8">
        <v>78</v>
      </c>
      <c r="B80" s="34">
        <v>46123</v>
      </c>
      <c r="C80" s="31">
        <v>0.19554398148148147</v>
      </c>
      <c r="D80" s="13" t="s">
        <v>231</v>
      </c>
      <c r="E80" s="10" t="s">
        <v>73</v>
      </c>
    </row>
    <row r="81" spans="1:5" x14ac:dyDescent="0.2">
      <c r="A81" s="8">
        <v>79</v>
      </c>
      <c r="B81" s="34">
        <v>46129</v>
      </c>
      <c r="C81" s="31">
        <v>0.19055555555555556</v>
      </c>
      <c r="D81" s="13" t="s">
        <v>241</v>
      </c>
      <c r="E81" s="10" t="s">
        <v>26</v>
      </c>
    </row>
    <row r="82" spans="1:5" x14ac:dyDescent="0.2">
      <c r="A82" s="8">
        <v>80</v>
      </c>
      <c r="B82" s="34">
        <v>46130</v>
      </c>
      <c r="C82" s="31">
        <v>0.20653935185185185</v>
      </c>
      <c r="D82" s="13" t="s">
        <v>242</v>
      </c>
      <c r="E82" s="10" t="s">
        <v>61</v>
      </c>
    </row>
    <row r="83" spans="1:5" x14ac:dyDescent="0.2">
      <c r="A83" s="8">
        <v>81</v>
      </c>
      <c r="B83" s="34">
        <v>46131</v>
      </c>
      <c r="C83" s="31">
        <v>0.22232638888888889</v>
      </c>
      <c r="D83" s="13" t="s">
        <v>243</v>
      </c>
      <c r="E83" s="10" t="s">
        <v>71</v>
      </c>
    </row>
    <row r="84" spans="1:5" x14ac:dyDescent="0.2">
      <c r="A84" s="8">
        <v>82</v>
      </c>
      <c r="B84" s="34"/>
      <c r="C84" s="31"/>
      <c r="D84" s="13"/>
      <c r="E84" s="10"/>
    </row>
    <row r="85" spans="1:5" x14ac:dyDescent="0.2">
      <c r="A85" s="8">
        <v>83</v>
      </c>
      <c r="B85" s="34"/>
      <c r="C85" s="31"/>
      <c r="D85" s="13"/>
      <c r="E85" s="10"/>
    </row>
    <row r="86" spans="1:5" x14ac:dyDescent="0.2">
      <c r="A86" s="8">
        <v>84</v>
      </c>
      <c r="B86" s="34"/>
      <c r="C86" s="31"/>
      <c r="D86" s="13"/>
      <c r="E86" s="10"/>
    </row>
    <row r="87" spans="1:5" x14ac:dyDescent="0.2">
      <c r="A87" s="8">
        <v>85</v>
      </c>
      <c r="B87" s="34"/>
      <c r="C87" s="31"/>
      <c r="D87" s="13"/>
      <c r="E87" s="10"/>
    </row>
    <row r="88" spans="1:5" x14ac:dyDescent="0.2">
      <c r="A88" s="8">
        <v>86</v>
      </c>
      <c r="B88" s="34"/>
      <c r="C88" s="31"/>
      <c r="D88" s="13"/>
      <c r="E88" s="10"/>
    </row>
    <row r="89" spans="1:5" x14ac:dyDescent="0.2">
      <c r="A89" s="8">
        <v>87</v>
      </c>
      <c r="B89" s="34"/>
      <c r="C89" s="31"/>
      <c r="D89" s="13"/>
      <c r="E89" s="10"/>
    </row>
    <row r="90" spans="1:5" x14ac:dyDescent="0.2">
      <c r="A90" s="8">
        <v>88</v>
      </c>
      <c r="B90" s="34"/>
      <c r="C90" s="31"/>
      <c r="D90" s="13"/>
      <c r="E90" s="10"/>
    </row>
    <row r="91" spans="1:5" x14ac:dyDescent="0.2">
      <c r="A91" s="8">
        <v>89</v>
      </c>
      <c r="B91" s="34"/>
      <c r="C91" s="31"/>
      <c r="D91" s="13"/>
      <c r="E91" s="10"/>
    </row>
    <row r="92" spans="1:5" x14ac:dyDescent="0.2">
      <c r="A92" s="8">
        <v>90</v>
      </c>
      <c r="B92" s="34"/>
      <c r="C92" s="31"/>
      <c r="D92" s="13"/>
      <c r="E92" s="10"/>
    </row>
    <row r="93" spans="1:5" x14ac:dyDescent="0.2">
      <c r="A93" s="8">
        <v>91</v>
      </c>
      <c r="B93" s="34"/>
      <c r="C93" s="31"/>
      <c r="D93" s="13"/>
      <c r="E93" s="10"/>
    </row>
    <row r="94" spans="1:5" x14ac:dyDescent="0.2">
      <c r="A94" s="8">
        <v>92</v>
      </c>
      <c r="B94" s="34"/>
      <c r="C94" s="31"/>
      <c r="D94" s="13"/>
      <c r="E94" s="10"/>
    </row>
    <row r="95" spans="1:5" x14ac:dyDescent="0.2">
      <c r="A95" s="8">
        <v>93</v>
      </c>
      <c r="B95" s="34"/>
      <c r="C95" s="31"/>
      <c r="D95" s="13"/>
      <c r="E95" s="10"/>
    </row>
    <row r="96" spans="1:5" x14ac:dyDescent="0.2">
      <c r="A96" s="8">
        <v>94</v>
      </c>
      <c r="B96" s="34"/>
      <c r="C96" s="31"/>
      <c r="D96" s="13"/>
      <c r="E96" s="10"/>
    </row>
    <row r="97" spans="1:5" x14ac:dyDescent="0.2">
      <c r="A97" s="8">
        <v>95</v>
      </c>
      <c r="B97" s="34"/>
      <c r="C97" s="31"/>
      <c r="D97" s="13"/>
      <c r="E97" s="10"/>
    </row>
    <row r="98" spans="1:5" x14ac:dyDescent="0.2">
      <c r="A98" s="8">
        <v>96</v>
      </c>
      <c r="B98" s="34"/>
      <c r="C98" s="31"/>
      <c r="D98" s="13"/>
      <c r="E98" s="10"/>
    </row>
    <row r="99" spans="1:5" x14ac:dyDescent="0.2">
      <c r="A99" s="8">
        <v>97</v>
      </c>
      <c r="B99" s="34"/>
      <c r="C99" s="31"/>
      <c r="D99" s="13"/>
      <c r="E99" s="10"/>
    </row>
    <row r="100" spans="1:5" x14ac:dyDescent="0.2">
      <c r="A100" s="8">
        <v>98</v>
      </c>
      <c r="B100" s="34"/>
      <c r="C100" s="31"/>
      <c r="D100" s="13"/>
      <c r="E100" s="10"/>
    </row>
    <row r="101" spans="1:5" x14ac:dyDescent="0.2">
      <c r="A101" s="8">
        <v>99</v>
      </c>
      <c r="B101" s="34"/>
      <c r="C101" s="31"/>
      <c r="D101" s="13"/>
      <c r="E101" s="10"/>
    </row>
    <row r="102" spans="1:5" x14ac:dyDescent="0.2">
      <c r="A102" s="8">
        <v>100</v>
      </c>
      <c r="B102" s="34"/>
      <c r="C102" s="31"/>
      <c r="D102" s="13"/>
      <c r="E102" s="10"/>
    </row>
  </sheetData>
  <autoFilter ref="A2:E102" xr:uid="{00000000-0009-0000-0000-000000000000}"/>
  <mergeCells count="2">
    <mergeCell ref="A1:E1"/>
    <mergeCell ref="H1:I1"/>
  </mergeCells>
  <conditionalFormatting sqref="C3:C58 C66:C102">
    <cfRule type="top10" dxfId="15" priority="35" rank="1"/>
    <cfRule type="top10" dxfId="14" priority="36" bottom="1" rank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35"/>
  <sheetViews>
    <sheetView topLeftCell="C1" zoomScale="80" zoomScaleNormal="80" workbookViewId="0">
      <pane ySplit="2" topLeftCell="C3" activePane="bottomLeft" state="frozen"/>
      <selection activeCell="E1" sqref="E1"/>
      <selection pane="bottomLeft" activeCell="N26" sqref="N26"/>
    </sheetView>
  </sheetViews>
  <sheetFormatPr defaultRowHeight="15" x14ac:dyDescent="0.2"/>
  <cols>
    <col min="1" max="1" width="5.6484375" customWidth="1"/>
    <col min="2" max="2" width="30.265625" bestFit="1" customWidth="1"/>
    <col min="3" max="4" width="5.6484375" customWidth="1"/>
    <col min="5" max="5" width="30.265625" bestFit="1" customWidth="1"/>
    <col min="6" max="7" width="5.6484375" customWidth="1"/>
    <col min="8" max="8" width="30.265625" bestFit="1" customWidth="1"/>
    <col min="9" max="10" width="5.6484375" customWidth="1"/>
    <col min="11" max="11" width="30.265625" bestFit="1" customWidth="1"/>
    <col min="12" max="13" width="5.6484375" customWidth="1"/>
    <col min="14" max="14" width="32.28515625" bestFit="1" customWidth="1"/>
    <col min="15" max="16" width="5.6484375" customWidth="1"/>
    <col min="17" max="17" width="19.63671875" bestFit="1" customWidth="1"/>
  </cols>
  <sheetData>
    <row r="1" spans="1:17" ht="20.25" customHeight="1" thickBot="1" x14ac:dyDescent="0.25">
      <c r="A1" s="75"/>
      <c r="B1" s="75"/>
      <c r="C1" s="75"/>
      <c r="D1" s="75"/>
      <c r="E1" s="75"/>
      <c r="F1" s="75"/>
      <c r="G1" s="76"/>
      <c r="H1" s="30" t="s">
        <v>114</v>
      </c>
      <c r="I1" s="29">
        <f>SUM(C34,F22,I27,L24,O16)</f>
        <v>81</v>
      </c>
      <c r="K1" s="30" t="s">
        <v>115</v>
      </c>
      <c r="L1" s="29">
        <f>SUM(C35,F23,I28,L25,O17)</f>
        <v>34</v>
      </c>
      <c r="M1" s="33"/>
      <c r="N1" s="30" t="s">
        <v>230</v>
      </c>
      <c r="O1" s="29">
        <f>98-L1</f>
        <v>64</v>
      </c>
    </row>
    <row r="2" spans="1:17" ht="15.75" thickBo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5.75" thickBot="1" x14ac:dyDescent="0.25">
      <c r="B3" s="77" t="s">
        <v>116</v>
      </c>
      <c r="C3" s="78"/>
      <c r="E3" s="77" t="s">
        <v>117</v>
      </c>
      <c r="F3" s="78"/>
      <c r="H3" s="77" t="s">
        <v>118</v>
      </c>
      <c r="I3" s="78"/>
      <c r="K3" s="77" t="s">
        <v>119</v>
      </c>
      <c r="L3" s="78"/>
      <c r="N3" s="77" t="s">
        <v>120</v>
      </c>
      <c r="O3" s="78"/>
    </row>
    <row r="4" spans="1:17" x14ac:dyDescent="0.2">
      <c r="B4" s="24" t="s">
        <v>121</v>
      </c>
      <c r="C4" s="28">
        <f>COUNTIF('Marathons 1-100'!$E$3:$E$101,"Albertslund")</f>
        <v>1</v>
      </c>
      <c r="E4" s="24" t="s">
        <v>122</v>
      </c>
      <c r="F4" s="28">
        <f>COUNTIF('Marathons 1-100'!$E$3:$E$101,"Faxe")</f>
        <v>2</v>
      </c>
      <c r="H4" s="24" t="s">
        <v>123</v>
      </c>
      <c r="I4" s="28">
        <f>COUNTIF('Marathons 1-100'!$E$3:$E$101,"Assens")</f>
        <v>0</v>
      </c>
      <c r="K4" s="24" t="s">
        <v>124</v>
      </c>
      <c r="L4" s="28">
        <f>COUNTIF('Marathons 1-100'!$E$3:$E$101,"Favrskov")</f>
        <v>0</v>
      </c>
      <c r="N4" s="24" t="s">
        <v>125</v>
      </c>
      <c r="O4" s="28">
        <f>COUNTIF('Marathons 1-100'!$E$3:$E$101,"Brønderslev")</f>
        <v>0</v>
      </c>
    </row>
    <row r="5" spans="1:17" x14ac:dyDescent="0.2">
      <c r="B5" s="26" t="s">
        <v>126</v>
      </c>
      <c r="C5" s="25">
        <f>COUNTIF('Marathons 1-100'!$E$3:$E$101,"Allerød")</f>
        <v>2</v>
      </c>
      <c r="E5" s="26" t="s">
        <v>127</v>
      </c>
      <c r="F5" s="25">
        <f>COUNTIF('Marathons 1-100'!$E$3:$E$101,"Greve")</f>
        <v>5</v>
      </c>
      <c r="H5" s="26" t="s">
        <v>128</v>
      </c>
      <c r="I5" s="25">
        <f>COUNTIF('Marathons 1-100'!$E$3:$E$101,"Billund")</f>
        <v>0</v>
      </c>
      <c r="K5" s="26" t="s">
        <v>129</v>
      </c>
      <c r="L5" s="25">
        <f>COUNTIF('Marathons 1-100'!$E$3:$E$101,"Hedensted")</f>
        <v>0</v>
      </c>
      <c r="N5" s="26" t="s">
        <v>130</v>
      </c>
      <c r="O5" s="25">
        <f>COUNTIF('Marathons 1-100'!$E$3:$E$101,"Frederikshavn")</f>
        <v>0</v>
      </c>
    </row>
    <row r="6" spans="1:17" x14ac:dyDescent="0.2">
      <c r="B6" s="26" t="s">
        <v>131</v>
      </c>
      <c r="C6" s="25">
        <f>COUNTIF('Marathons 1-100'!$E$3:$E$101,"Ballerup")</f>
        <v>1</v>
      </c>
      <c r="E6" s="26" t="s">
        <v>132</v>
      </c>
      <c r="F6" s="25">
        <f>COUNTIF('Marathons 1-100'!$E$3:$E$101,"Guldborgsund")</f>
        <v>0</v>
      </c>
      <c r="H6" s="26" t="s">
        <v>133</v>
      </c>
      <c r="I6" s="25">
        <f>COUNTIF('Marathons 1-100'!$E$3:$E$101,"Esbjerg")</f>
        <v>0</v>
      </c>
      <c r="K6" s="26" t="s">
        <v>134</v>
      </c>
      <c r="L6" s="25">
        <f>COUNTIF('Marathons 1-100'!$E$3:$E$101,"Herning")</f>
        <v>0</v>
      </c>
      <c r="N6" s="26" t="s">
        <v>135</v>
      </c>
      <c r="O6" s="25">
        <f>COUNTIF('Marathons 1-100'!$E$3:$E$101,"Hjørring")</f>
        <v>0</v>
      </c>
    </row>
    <row r="7" spans="1:17" x14ac:dyDescent="0.2">
      <c r="B7" s="26" t="s">
        <v>136</v>
      </c>
      <c r="C7" s="25">
        <f>COUNTIF('Marathons 1-100'!$E$3:$E$101,"Bornholm")</f>
        <v>0</v>
      </c>
      <c r="E7" s="26" t="s">
        <v>137</v>
      </c>
      <c r="F7" s="25">
        <f>COUNTIF('Marathons 1-100'!$E$3:$E$101,"Holbæk")</f>
        <v>0</v>
      </c>
      <c r="H7" s="26" t="s">
        <v>138</v>
      </c>
      <c r="I7" s="25">
        <f>COUNTIF('Marathons 1-100'!$E$3:$E$101,"Fanø")</f>
        <v>0</v>
      </c>
      <c r="K7" s="26" t="s">
        <v>139</v>
      </c>
      <c r="L7" s="25">
        <f>COUNTIF('Marathons 1-100'!$E$3:$E$101,"Holstebro")</f>
        <v>0</v>
      </c>
      <c r="N7" s="26" t="s">
        <v>140</v>
      </c>
      <c r="O7" s="25">
        <f>COUNTIF('Marathons 1-100'!$E$3:$E$101,"Jammerbugt")</f>
        <v>0</v>
      </c>
    </row>
    <row r="8" spans="1:17" x14ac:dyDescent="0.2">
      <c r="B8" s="26" t="s">
        <v>141</v>
      </c>
      <c r="C8" s="25">
        <f>COUNTIF('Marathons 1-100'!$E$3:$E$101,"Brøndby")</f>
        <v>1</v>
      </c>
      <c r="E8" s="26" t="s">
        <v>142</v>
      </c>
      <c r="F8" s="25">
        <f>COUNTIF('Marathons 1-100'!$E$3:$E$101,"Kalundborg")</f>
        <v>0</v>
      </c>
      <c r="H8" s="26" t="s">
        <v>143</v>
      </c>
      <c r="I8" s="25">
        <f>COUNTIF('Marathons 1-100'!$E$3:$E$101,"Fredericia")</f>
        <v>0</v>
      </c>
      <c r="K8" s="26" t="s">
        <v>144</v>
      </c>
      <c r="L8" s="25">
        <f>COUNTIF('Marathons 1-100'!$E$3:$E$101,"Horsens")</f>
        <v>0</v>
      </c>
      <c r="N8" s="26" t="s">
        <v>145</v>
      </c>
      <c r="O8" s="25">
        <f>COUNTIF('Marathons 1-100'!$E$3:$E$101,"Læsø")</f>
        <v>0</v>
      </c>
    </row>
    <row r="9" spans="1:17" x14ac:dyDescent="0.2">
      <c r="B9" s="26" t="s">
        <v>146</v>
      </c>
      <c r="C9" s="25">
        <f>COUNTIF('Marathons 1-100'!$E$3:$E$101,"Dragør")</f>
        <v>1</v>
      </c>
      <c r="E9" s="26" t="s">
        <v>147</v>
      </c>
      <c r="F9" s="25">
        <f>COUNTIF('Marathons 1-100'!$E$3:$E$101,"Køge")</f>
        <v>0</v>
      </c>
      <c r="H9" s="26" t="s">
        <v>148</v>
      </c>
      <c r="I9" s="25">
        <f>COUNTIF('Marathons 1-100'!$E$3:$E$101,"Faaborg-Midtfyn")</f>
        <v>0</v>
      </c>
      <c r="K9" s="26" t="s">
        <v>149</v>
      </c>
      <c r="L9" s="25">
        <f>COUNTIF('Marathons 1-100'!$E$3:$E$101,"Ikast-Brande")</f>
        <v>0</v>
      </c>
      <c r="N9" s="26" t="s">
        <v>150</v>
      </c>
      <c r="O9" s="25">
        <f>COUNTIF('Marathons 1-100'!$E$3:$E$101,"Mariagerfjord")</f>
        <v>0</v>
      </c>
    </row>
    <row r="10" spans="1:17" x14ac:dyDescent="0.2">
      <c r="B10" s="26" t="s">
        <v>151</v>
      </c>
      <c r="C10" s="25">
        <f>COUNTIF('Marathons 1-100'!$E$3:$E$101,"Egedal")</f>
        <v>1</v>
      </c>
      <c r="E10" s="26" t="s">
        <v>152</v>
      </c>
      <c r="F10" s="25">
        <f>COUNTIF('Marathons 1-100'!$E$3:$E$101,"Lejre")</f>
        <v>4</v>
      </c>
      <c r="H10" s="26" t="s">
        <v>153</v>
      </c>
      <c r="I10" s="25">
        <f>COUNTIF('Marathons 1-100'!$E$3:$E$101,"Haderslev")</f>
        <v>0</v>
      </c>
      <c r="K10" s="26" t="s">
        <v>154</v>
      </c>
      <c r="L10" s="25">
        <f>COUNTIF('Marathons 1-100'!$E$3:$E$101,"Lemvig")</f>
        <v>0</v>
      </c>
      <c r="N10" s="26" t="s">
        <v>155</v>
      </c>
      <c r="O10" s="25">
        <f>COUNTIF('Marathons 1-100'!$E$3:$E$101,"Morsø")</f>
        <v>0</v>
      </c>
    </row>
    <row r="11" spans="1:17" x14ac:dyDescent="0.2">
      <c r="B11" s="26" t="s">
        <v>156</v>
      </c>
      <c r="C11" s="25">
        <f>COUNTIF('Marathons 1-100'!$E$3:$E$101,"Fredensborg")</f>
        <v>7</v>
      </c>
      <c r="E11" s="26" t="s">
        <v>157</v>
      </c>
      <c r="F11" s="25">
        <f>COUNTIF('Marathons 1-100'!$E$3:$E$101,"Lolland")</f>
        <v>0</v>
      </c>
      <c r="H11" s="26" t="s">
        <v>158</v>
      </c>
      <c r="I11" s="25">
        <f>COUNTIF('Marathons 1-100'!$E$3:$E$101,"Kerteminde")</f>
        <v>0</v>
      </c>
      <c r="K11" s="26" t="s">
        <v>159</v>
      </c>
      <c r="L11" s="25">
        <f>COUNTIF('Marathons 1-100'!$E$3:$E$101,"Norddjurs")</f>
        <v>0</v>
      </c>
      <c r="N11" s="26" t="s">
        <v>160</v>
      </c>
      <c r="O11" s="25">
        <f>COUNTIF('Marathons 1-100'!$E$3:$E$101,"Rebild")</f>
        <v>0</v>
      </c>
    </row>
    <row r="12" spans="1:17" x14ac:dyDescent="0.2">
      <c r="B12" s="26" t="s">
        <v>161</v>
      </c>
      <c r="C12" s="25">
        <f>COUNTIF('Marathons 1-100'!$E$3:$E$101,"Frederiksberg")</f>
        <v>1</v>
      </c>
      <c r="E12" s="26" t="s">
        <v>162</v>
      </c>
      <c r="F12" s="25">
        <f>COUNTIF('Marathons 1-100'!$E$3:$E$101,"Næsved")</f>
        <v>0</v>
      </c>
      <c r="H12" s="26" t="s">
        <v>163</v>
      </c>
      <c r="I12" s="25">
        <f>COUNTIF('Marathons 1-100'!$E$3:$E$101,"Kolding")</f>
        <v>0</v>
      </c>
      <c r="K12" s="26" t="s">
        <v>164</v>
      </c>
      <c r="L12" s="25">
        <f>COUNTIF('Marathons 1-100'!$E$3:$E$101,"Odder")</f>
        <v>0</v>
      </c>
      <c r="N12" s="26" t="s">
        <v>165</v>
      </c>
      <c r="O12" s="25">
        <f>COUNTIF('Marathons 1-100'!$E$3:$E$101,"Thisted")</f>
        <v>0</v>
      </c>
    </row>
    <row r="13" spans="1:17" x14ac:dyDescent="0.2">
      <c r="B13" s="26" t="s">
        <v>166</v>
      </c>
      <c r="C13" s="25">
        <f>COUNTIF('Marathons 1-100'!$E$3:$E$101,"Frederikssund")</f>
        <v>8</v>
      </c>
      <c r="E13" s="26" t="s">
        <v>167</v>
      </c>
      <c r="F13" s="25">
        <f>COUNTIF('Marathons 1-100'!$E$3:$E$101,"Odsherred")</f>
        <v>0</v>
      </c>
      <c r="H13" s="26" t="s">
        <v>168</v>
      </c>
      <c r="I13" s="25">
        <f>COUNTIF('Marathons 1-100'!$E$3:$E$101,"Langeland")</f>
        <v>0</v>
      </c>
      <c r="K13" s="26" t="s">
        <v>169</v>
      </c>
      <c r="L13" s="25">
        <f>COUNTIF('Marathons 1-100'!$E$3:$E$101,"Randers")</f>
        <v>0</v>
      </c>
      <c r="N13" s="26" t="s">
        <v>170</v>
      </c>
      <c r="O13" s="25">
        <f>COUNTIF('Marathons 1-100'!$E$3:$E$101,"Vesthimmerlands")</f>
        <v>0</v>
      </c>
    </row>
    <row r="14" spans="1:17" x14ac:dyDescent="0.2">
      <c r="B14" s="26" t="s">
        <v>171</v>
      </c>
      <c r="C14" s="25">
        <f>COUNTIF('Marathons 1-100'!$E$3:$E$101,"Furesø")</f>
        <v>2</v>
      </c>
      <c r="E14" s="26" t="s">
        <v>172</v>
      </c>
      <c r="F14" s="25">
        <f>COUNTIF('Marathons 1-100'!$E$3:$E$101,"Ringsted")</f>
        <v>1</v>
      </c>
      <c r="H14" s="26" t="s">
        <v>173</v>
      </c>
      <c r="I14" s="25">
        <f>COUNTIF('Marathons 1-100'!$E$3:$E$101,"Middelfart")</f>
        <v>0</v>
      </c>
      <c r="K14" s="26" t="s">
        <v>174</v>
      </c>
      <c r="L14" s="25">
        <f>COUNTIF('Marathons 1-100'!$E$3:$E$101,"Ringkøbing-Skjern")</f>
        <v>0</v>
      </c>
      <c r="N14" s="26" t="s">
        <v>175</v>
      </c>
      <c r="O14" s="27">
        <f>COUNTIF('Marathons 1-100'!$E$3:$E$101,"Aalborg")</f>
        <v>0</v>
      </c>
    </row>
    <row r="15" spans="1:17" ht="15.75" thickBot="1" x14ac:dyDescent="0.25">
      <c r="B15" s="26" t="s">
        <v>176</v>
      </c>
      <c r="C15" s="25">
        <f>COUNTIF('Marathons 1-100'!$E$3:$E$101,"Gentofte")</f>
        <v>1</v>
      </c>
      <c r="E15" s="26" t="s">
        <v>177</v>
      </c>
      <c r="F15" s="25">
        <f>COUNTIF('Marathons 1-100'!$E$3:$E$101,"Roskilde")</f>
        <v>3</v>
      </c>
      <c r="H15" s="26" t="s">
        <v>178</v>
      </c>
      <c r="I15" s="25">
        <f>COUNTIF('Marathons 1-100'!$E$3:$E$101,"Nordfyns")</f>
        <v>0</v>
      </c>
      <c r="K15" s="26" t="s">
        <v>179</v>
      </c>
      <c r="L15" s="25">
        <f>COUNTIF('Marathons 1-100'!$E$3:$E$101,"Samsø")</f>
        <v>0</v>
      </c>
      <c r="N15" s="73"/>
      <c r="O15" s="74"/>
    </row>
    <row r="16" spans="1:17" x14ac:dyDescent="0.2">
      <c r="B16" s="26" t="s">
        <v>180</v>
      </c>
      <c r="C16" s="25">
        <f>COUNTIF('Marathons 1-100'!$E$3:$E$101,"Gladsaxe")</f>
        <v>1</v>
      </c>
      <c r="E16" s="26" t="s">
        <v>181</v>
      </c>
      <c r="F16" s="25">
        <f>COUNTIF('Marathons 1-100'!$E$3:$E$101,"Slagelse")</f>
        <v>0</v>
      </c>
      <c r="H16" s="26" t="s">
        <v>182</v>
      </c>
      <c r="I16" s="25">
        <f>COUNTIF('Marathons 1-100'!$E$3:$E$101,"Nyborg")</f>
        <v>0</v>
      </c>
      <c r="K16" s="26" t="s">
        <v>183</v>
      </c>
      <c r="L16" s="25">
        <f>COUNTIF('Marathons 1-100'!$E$3:$E$101,"Silkeborg")</f>
        <v>0</v>
      </c>
      <c r="N16" s="20" t="s">
        <v>184</v>
      </c>
      <c r="O16" s="21">
        <f>SUM(O4:O14)</f>
        <v>0</v>
      </c>
    </row>
    <row r="17" spans="2:15" ht="15.75" thickBot="1" x14ac:dyDescent="0.25">
      <c r="B17" s="26" t="s">
        <v>185</v>
      </c>
      <c r="C17" s="25">
        <f>COUNTIF('Marathons 1-100'!$E$3:$E$101,"Glostrup")</f>
        <v>1</v>
      </c>
      <c r="E17" s="26" t="s">
        <v>186</v>
      </c>
      <c r="F17" s="25">
        <f>COUNTIF('Marathons 1-100'!$E$3:$E$101,"Solrød")</f>
        <v>1</v>
      </c>
      <c r="H17" s="26" t="s">
        <v>187</v>
      </c>
      <c r="I17" s="25">
        <f>COUNTIF('Marathons 1-100'!$E$3:$E$101,"Odense")</f>
        <v>0</v>
      </c>
      <c r="K17" s="26" t="s">
        <v>188</v>
      </c>
      <c r="L17" s="25">
        <f>COUNTIF('Marathons 1-100'!$E$3:$E$101,"Skanderborg")</f>
        <v>0</v>
      </c>
      <c r="N17" s="22" t="s">
        <v>189</v>
      </c>
      <c r="O17" s="23">
        <f>COUNTIF(O4:O14,"&gt;0")</f>
        <v>0</v>
      </c>
    </row>
    <row r="18" spans="2:15" x14ac:dyDescent="0.2">
      <c r="B18" s="26" t="s">
        <v>190</v>
      </c>
      <c r="C18" s="25">
        <f>COUNTIF('Marathons 1-100'!$E$3:$E$101,"Gribskov")</f>
        <v>2</v>
      </c>
      <c r="E18" s="26" t="s">
        <v>191</v>
      </c>
      <c r="F18" s="25">
        <f>COUNTIF('Marathons 1-100'!$E$3:$E$101,"Sorø")</f>
        <v>0</v>
      </c>
      <c r="H18" s="26" t="s">
        <v>192</v>
      </c>
      <c r="I18" s="25">
        <f>COUNTIF('Marathons 1-100'!$E$3:$E$101,"Svendborg")</f>
        <v>0</v>
      </c>
      <c r="K18" s="26" t="s">
        <v>193</v>
      </c>
      <c r="L18" s="25">
        <f>COUNTIF('Marathons 1-100'!$E$3:$E$101,"Skive")</f>
        <v>0</v>
      </c>
    </row>
    <row r="19" spans="2:15" x14ac:dyDescent="0.2">
      <c r="B19" s="26" t="s">
        <v>194</v>
      </c>
      <c r="C19" s="25">
        <f>COUNTIF('Marathons 1-100'!$E$3:$E$101,"Halsnæs")</f>
        <v>1</v>
      </c>
      <c r="E19" s="26" t="s">
        <v>195</v>
      </c>
      <c r="F19" s="25">
        <f>COUNTIF('Marathons 1-100'!$E$3:$E$101,"Stevns")</f>
        <v>0</v>
      </c>
      <c r="H19" s="26" t="s">
        <v>196</v>
      </c>
      <c r="I19" s="25">
        <f>COUNTIF('Marathons 1-100'!$E$3:$E$101,"Sønderborg")</f>
        <v>0</v>
      </c>
      <c r="K19" s="26" t="s">
        <v>197</v>
      </c>
      <c r="L19" s="25">
        <f>COUNTIF('Marathons 1-100'!$E$3:$E$101,"Struer")</f>
        <v>0</v>
      </c>
    </row>
    <row r="20" spans="2:15" x14ac:dyDescent="0.2">
      <c r="B20" s="26" t="s">
        <v>198</v>
      </c>
      <c r="C20" s="25">
        <f>COUNTIF('Marathons 1-100'!$E$3:$E$101,"Helsingør")</f>
        <v>2</v>
      </c>
      <c r="E20" s="26" t="s">
        <v>199</v>
      </c>
      <c r="F20" s="27">
        <f>COUNTIF('Marathons 1-100'!$E$3:$E$101,"Vordinborg")</f>
        <v>0</v>
      </c>
      <c r="H20" s="26" t="s">
        <v>200</v>
      </c>
      <c r="I20" s="25">
        <f>COUNTIF('Marathons 1-100'!$E$3:$E$101,"Tønder")</f>
        <v>0</v>
      </c>
      <c r="K20" s="26" t="s">
        <v>201</v>
      </c>
      <c r="L20" s="25">
        <f>COUNTIF('Marathons 1-100'!$E$3:$E$101,"Syddjurs")</f>
        <v>0</v>
      </c>
    </row>
    <row r="21" spans="2:15" ht="15.75" thickBot="1" x14ac:dyDescent="0.25">
      <c r="B21" s="26" t="s">
        <v>202</v>
      </c>
      <c r="C21" s="25">
        <f>COUNTIF('Marathons 1-100'!$E$3:$E$101,"Herlev")</f>
        <v>1</v>
      </c>
      <c r="E21" s="73"/>
      <c r="F21" s="74"/>
      <c r="H21" s="26" t="s">
        <v>203</v>
      </c>
      <c r="I21" s="25">
        <f>COUNTIF('Marathons 1-100'!$E$3:$E$101,"Varde")</f>
        <v>0</v>
      </c>
      <c r="K21" s="26" t="s">
        <v>204</v>
      </c>
      <c r="L21" s="25">
        <f>COUNTIF('Marathons 1-100'!$E$3:$E$101,"Viborg")</f>
        <v>0</v>
      </c>
    </row>
    <row r="22" spans="2:15" x14ac:dyDescent="0.2">
      <c r="B22" s="26" t="s">
        <v>205</v>
      </c>
      <c r="C22" s="27">
        <f>COUNTIF('Marathons 1-100'!$E$3:$E$101,"Hillerød")</f>
        <v>1</v>
      </c>
      <c r="E22" s="20" t="s">
        <v>184</v>
      </c>
      <c r="F22" s="21">
        <f>SUM(F4:F20)</f>
        <v>16</v>
      </c>
      <c r="H22" s="26" t="s">
        <v>206</v>
      </c>
      <c r="I22" s="25">
        <f>COUNTIF('Marathons 1-100'!$E$3:$E$101,"Vejen")</f>
        <v>0</v>
      </c>
      <c r="K22" s="26" t="s">
        <v>207</v>
      </c>
      <c r="L22" s="27">
        <f>COUNTIF('Marathons 1-100'!$E$3:$E$101,"Århus")</f>
        <v>0</v>
      </c>
    </row>
    <row r="23" spans="2:15" ht="15.75" thickBot="1" x14ac:dyDescent="0.25">
      <c r="B23" s="26" t="s">
        <v>208</v>
      </c>
      <c r="C23" s="27">
        <f>COUNTIF('Marathons 1-100'!$E$3:$E$101,"Hvidovre")</f>
        <v>2</v>
      </c>
      <c r="E23" s="22" t="s">
        <v>189</v>
      </c>
      <c r="F23" s="23">
        <f>COUNTIF(F4:F20,"&gt;0")</f>
        <v>6</v>
      </c>
      <c r="H23" s="26" t="s">
        <v>209</v>
      </c>
      <c r="I23" s="25">
        <f>COUNTIF('Marathons 1-100'!$E$3:$E$101,"Vejle")</f>
        <v>0</v>
      </c>
      <c r="K23" s="73"/>
      <c r="L23" s="74"/>
    </row>
    <row r="24" spans="2:15" x14ac:dyDescent="0.2">
      <c r="B24" s="26" t="s">
        <v>210</v>
      </c>
      <c r="C24" s="27">
        <f>COUNTIF('Marathons 1-100'!$E$3:$E$101,"Høje-Taastrup")</f>
        <v>1</v>
      </c>
      <c r="H24" s="26" t="s">
        <v>211</v>
      </c>
      <c r="I24" s="25">
        <f>COUNTIF('Marathons 1-100'!$E$3:$E$101,"Ærø")</f>
        <v>0</v>
      </c>
      <c r="K24" s="20" t="s">
        <v>184</v>
      </c>
      <c r="L24" s="21">
        <f>SUM(L4:L22)</f>
        <v>0</v>
      </c>
    </row>
    <row r="25" spans="2:15" ht="15.75" thickBot="1" x14ac:dyDescent="0.25">
      <c r="B25" s="26" t="s">
        <v>212</v>
      </c>
      <c r="C25" s="27">
        <f>COUNTIF('Marathons 1-100'!$E$3:$E$101,"Hørsholm")</f>
        <v>2</v>
      </c>
      <c r="H25" s="26" t="s">
        <v>213</v>
      </c>
      <c r="I25" s="27">
        <f>COUNTIF('Marathons 1-100'!$E$3:$E$101,"Aabenraa")</f>
        <v>0</v>
      </c>
      <c r="K25" s="22" t="s">
        <v>189</v>
      </c>
      <c r="L25" s="23">
        <f>COUNTIF(L4:L22,"&gt;0")</f>
        <v>0</v>
      </c>
    </row>
    <row r="26" spans="2:15" ht="15.75" thickBot="1" x14ac:dyDescent="0.25">
      <c r="B26" s="26" t="s">
        <v>214</v>
      </c>
      <c r="C26" s="27">
        <f>COUNTIF('Marathons 1-100'!$E$3:$E$101,"Ishøj")</f>
        <v>1</v>
      </c>
      <c r="H26" s="73"/>
      <c r="I26" s="74"/>
    </row>
    <row r="27" spans="2:15" x14ac:dyDescent="0.2">
      <c r="B27" s="26" t="s">
        <v>10</v>
      </c>
      <c r="C27" s="27">
        <f>COUNTIF('Marathons 1-100'!$E$3:$E$101,"København")</f>
        <v>7</v>
      </c>
      <c r="H27" s="20" t="s">
        <v>184</v>
      </c>
      <c r="I27" s="21">
        <f>SUM(I4:I25)</f>
        <v>0</v>
      </c>
    </row>
    <row r="28" spans="2:15" ht="15.75" thickBot="1" x14ac:dyDescent="0.25">
      <c r="B28" s="26" t="s">
        <v>215</v>
      </c>
      <c r="C28" s="27">
        <f>COUNTIF('Marathons 1-100'!$E$3:$E$101,"Lyngby-Taarbæk")</f>
        <v>1</v>
      </c>
      <c r="H28" s="22" t="s">
        <v>189</v>
      </c>
      <c r="I28" s="23">
        <f>COUNTIF(I4:I25,"&gt;0")</f>
        <v>0</v>
      </c>
    </row>
    <row r="29" spans="2:15" x14ac:dyDescent="0.2">
      <c r="B29" s="26" t="s">
        <v>216</v>
      </c>
      <c r="C29" s="27">
        <f>COUNTIF('Marathons 1-100'!$E$3:$E$101,"Rudersdal")</f>
        <v>2</v>
      </c>
    </row>
    <row r="30" spans="2:15" x14ac:dyDescent="0.2">
      <c r="B30" s="26" t="s">
        <v>217</v>
      </c>
      <c r="C30" s="27">
        <f>COUNTIF('Marathons 1-100'!$E$3:$E$101,"Rødovre")</f>
        <v>2</v>
      </c>
    </row>
    <row r="31" spans="2:15" x14ac:dyDescent="0.2">
      <c r="B31" s="26" t="s">
        <v>218</v>
      </c>
      <c r="C31" s="27">
        <f>COUNTIF('Marathons 1-100'!$E$3:$E$101,"Tårnby")</f>
        <v>5</v>
      </c>
    </row>
    <row r="32" spans="2:15" x14ac:dyDescent="0.2">
      <c r="B32" s="26" t="s">
        <v>219</v>
      </c>
      <c r="C32" s="27">
        <f>COUNTIF('Marathons 1-100'!$E$3:$E$101,"Vallensbæk")</f>
        <v>7</v>
      </c>
    </row>
    <row r="33" spans="2:3" ht="15.75" thickBot="1" x14ac:dyDescent="0.25">
      <c r="B33" s="73"/>
      <c r="C33" s="74"/>
    </row>
    <row r="34" spans="2:3" x14ac:dyDescent="0.2">
      <c r="B34" s="20" t="s">
        <v>184</v>
      </c>
      <c r="C34" s="21">
        <f>SUM(C4:C32)</f>
        <v>65</v>
      </c>
    </row>
    <row r="35" spans="2:3" ht="15.75" thickBot="1" x14ac:dyDescent="0.25">
      <c r="B35" s="22" t="s">
        <v>189</v>
      </c>
      <c r="C35" s="23">
        <f>COUNTIF(C4:C32,"&gt;0")</f>
        <v>28</v>
      </c>
    </row>
  </sheetData>
  <mergeCells count="12">
    <mergeCell ref="B33:C33"/>
    <mergeCell ref="H26:I26"/>
    <mergeCell ref="K23:L23"/>
    <mergeCell ref="N15:O15"/>
    <mergeCell ref="A1:G1"/>
    <mergeCell ref="E21:F21"/>
    <mergeCell ref="N3:O3"/>
    <mergeCell ref="B3:C3"/>
    <mergeCell ref="E3:F3"/>
    <mergeCell ref="H3:I3"/>
    <mergeCell ref="K3:L3"/>
    <mergeCell ref="A2:Q2"/>
  </mergeCells>
  <conditionalFormatting sqref="B4:B32">
    <cfRule type="expression" dxfId="13" priority="9">
      <formula>C4:C32&gt;0</formula>
    </cfRule>
  </conditionalFormatting>
  <conditionalFormatting sqref="C4:C32">
    <cfRule type="cellIs" dxfId="12" priority="10" operator="greaterThan">
      <formula>0</formula>
    </cfRule>
  </conditionalFormatting>
  <conditionalFormatting sqref="E4:E20">
    <cfRule type="expression" dxfId="11" priority="11">
      <formula>F4:F20&gt;0</formula>
    </cfRule>
  </conditionalFormatting>
  <conditionalFormatting sqref="F4:F20">
    <cfRule type="cellIs" dxfId="10" priority="13" operator="greaterThan">
      <formula>0</formula>
    </cfRule>
  </conditionalFormatting>
  <conditionalFormatting sqref="G6">
    <cfRule type="cellIs" dxfId="9" priority="24" operator="greaterThan">
      <formula>$F$4:$F$20&gt;0</formula>
    </cfRule>
  </conditionalFormatting>
  <conditionalFormatting sqref="H4 H6:H25">
    <cfRule type="expression" dxfId="8" priority="7">
      <formula>I4:I25&gt;0</formula>
    </cfRule>
  </conditionalFormatting>
  <conditionalFormatting sqref="H5">
    <cfRule type="expression" dxfId="7" priority="26">
      <formula>I5:I27&gt;0</formula>
    </cfRule>
  </conditionalFormatting>
  <conditionalFormatting sqref="I4:I25">
    <cfRule type="cellIs" dxfId="6" priority="8" operator="greaterThan">
      <formula>0</formula>
    </cfRule>
  </conditionalFormatting>
  <conditionalFormatting sqref="K4 K6:K22 L7:L22 L24">
    <cfRule type="expression" dxfId="5" priority="1">
      <formula>L4:L22&gt;0</formula>
    </cfRule>
  </conditionalFormatting>
  <conditionalFormatting sqref="K5">
    <cfRule type="expression" dxfId="4" priority="29">
      <formula>L5:L24&gt;0</formula>
    </cfRule>
  </conditionalFormatting>
  <conditionalFormatting sqref="L4:L22">
    <cfRule type="cellIs" dxfId="3" priority="6" operator="greaterThan">
      <formula>0</formula>
    </cfRule>
  </conditionalFormatting>
  <conditionalFormatting sqref="N4 N6:N14">
    <cfRule type="expression" dxfId="2" priority="2">
      <formula>O4:O14&gt;0</formula>
    </cfRule>
  </conditionalFormatting>
  <conditionalFormatting sqref="N5">
    <cfRule type="expression" dxfId="1" priority="32">
      <formula>O5:O16&gt;0</formula>
    </cfRule>
  </conditionalFormatting>
  <conditionalFormatting sqref="O4:O14"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F10 O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"/>
  <sheetViews>
    <sheetView topLeftCell="O1" zoomScale="70" zoomScaleNormal="70" workbookViewId="0">
      <selection activeCell="M77" sqref="M77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Marathons 1-100</vt:lpstr>
      <vt:lpstr>Kommuner</vt:lpstr>
      <vt:lpstr>Statistik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Renas</dc:creator>
  <cp:keywords/>
  <dc:description/>
  <cp:lastModifiedBy>Hakan Demirkan</cp:lastModifiedBy>
  <cp:revision/>
  <dcterms:created xsi:type="dcterms:W3CDTF">2023-01-01T11:30:24Z</dcterms:created>
  <dcterms:modified xsi:type="dcterms:W3CDTF">2026-02-06T10:54:52Z</dcterms:modified>
  <cp:category/>
  <cp:contentStatus/>
</cp:coreProperties>
</file>