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115" windowHeight="11700" firstSheet="13" activeTab="14"/>
  </bookViews>
  <sheets>
    <sheet name="CPH Maraton 2012" sheetId="1" r:id="rId1"/>
    <sheet name="HCA 2012" sheetId="4" r:id="rId2"/>
    <sheet name="Dr. Nielsens 2013" sheetId="5" r:id="rId3"/>
    <sheet name="CPH 2014" sheetId="9" r:id="rId4"/>
    <sheet name="CPH 2015" sheetId="12" r:id="rId5"/>
    <sheet name="Løb som eliten Verona 2015" sheetId="16" r:id="rId6"/>
    <sheet name="5. juni 2016" sheetId="18" r:id="rId7"/>
    <sheet name="22.01.2017" sheetId="20" r:id="rId8"/>
    <sheet name="Manchester 2017" sheetId="21" r:id="rId9"/>
    <sheet name="100 Miles Berlin 2017" sheetId="22" r:id="rId10"/>
    <sheet name="Malta Marathon 2018" sheetId="25" r:id="rId11"/>
    <sheet name="Mål pr. 01.01.2016" sheetId="17" r:id="rId12"/>
    <sheet name="13 i 13" sheetId="2" r:id="rId13"/>
    <sheet name="Træning" sheetId="6" r:id="rId14"/>
    <sheet name="Marathonliste" sheetId="7" r:id="rId15"/>
    <sheet name="Ultraløb" sheetId="15" r:id="rId16"/>
    <sheet name="Løbsliste" sheetId="8" r:id="rId17"/>
    <sheet name="Fartholder" sheetId="13" r:id="rId18"/>
    <sheet name="strategi 100km 2016" sheetId="19" r:id="rId19"/>
    <sheet name="strategi 100M 2017" sheetId="24" r:id="rId20"/>
    <sheet name="strategi 100M 2018" sheetId="26" r:id="rId21"/>
    <sheet name="strategi 100M test" sheetId="27" r:id="rId22"/>
    <sheet name="Ark3" sheetId="3" r:id="rId23"/>
  </sheets>
  <calcPr calcId="145621"/>
</workbook>
</file>

<file path=xl/calcChain.xml><?xml version="1.0" encoding="utf-8"?>
<calcChain xmlns="http://schemas.openxmlformats.org/spreadsheetml/2006/main">
  <c r="M67" i="7" l="1"/>
  <c r="M66" i="7"/>
  <c r="V25" i="13" l="1"/>
  <c r="M65" i="7" l="1"/>
  <c r="S45" i="27" l="1"/>
  <c r="Q45" i="27"/>
  <c r="G45" i="27"/>
  <c r="F45" i="27"/>
  <c r="E45" i="27"/>
  <c r="U44" i="27"/>
  <c r="P44" i="27" s="1"/>
  <c r="T44" i="27"/>
  <c r="H44" i="27"/>
  <c r="T43" i="27"/>
  <c r="P43" i="27" s="1"/>
  <c r="H43" i="27"/>
  <c r="B43" i="27"/>
  <c r="U43" i="27" s="1"/>
  <c r="T42" i="27"/>
  <c r="P42" i="27" s="1"/>
  <c r="H42" i="27"/>
  <c r="B42" i="27"/>
  <c r="U42" i="27" s="1"/>
  <c r="T41" i="27"/>
  <c r="P41" i="27" s="1"/>
  <c r="H41" i="27"/>
  <c r="B41" i="27"/>
  <c r="U41" i="27" s="1"/>
  <c r="T40" i="27"/>
  <c r="P40" i="27" s="1"/>
  <c r="H40" i="27"/>
  <c r="B40" i="27"/>
  <c r="U40" i="27" s="1"/>
  <c r="T39" i="27"/>
  <c r="P39" i="27" s="1"/>
  <c r="H39" i="27"/>
  <c r="B39" i="27"/>
  <c r="U39" i="27" s="1"/>
  <c r="T38" i="27"/>
  <c r="P38" i="27" s="1"/>
  <c r="H38" i="27"/>
  <c r="B38" i="27"/>
  <c r="U38" i="27" s="1"/>
  <c r="T37" i="27"/>
  <c r="P37" i="27" s="1"/>
  <c r="H37" i="27"/>
  <c r="B37" i="27"/>
  <c r="U37" i="27" s="1"/>
  <c r="T36" i="27"/>
  <c r="P36" i="27" s="1"/>
  <c r="H36" i="27"/>
  <c r="B36" i="27"/>
  <c r="U36" i="27" s="1"/>
  <c r="T35" i="27"/>
  <c r="P35" i="27" s="1"/>
  <c r="H35" i="27"/>
  <c r="B35" i="27"/>
  <c r="U35" i="27" s="1"/>
  <c r="T34" i="27"/>
  <c r="P34" i="27" s="1"/>
  <c r="H34" i="27"/>
  <c r="B34" i="27"/>
  <c r="U34" i="27" s="1"/>
  <c r="T33" i="27"/>
  <c r="P33" i="27" s="1"/>
  <c r="H33" i="27"/>
  <c r="B33" i="27"/>
  <c r="U33" i="27" s="1"/>
  <c r="T32" i="27"/>
  <c r="P32" i="27" s="1"/>
  <c r="H32" i="27"/>
  <c r="B32" i="27"/>
  <c r="U32" i="27" s="1"/>
  <c r="T18" i="27"/>
  <c r="P18" i="27" s="1"/>
  <c r="H18" i="27"/>
  <c r="B18" i="27"/>
  <c r="U18" i="27" s="1"/>
  <c r="T17" i="27"/>
  <c r="P17" i="27" s="1"/>
  <c r="H17" i="27"/>
  <c r="B17" i="27"/>
  <c r="U17" i="27" s="1"/>
  <c r="T16" i="27"/>
  <c r="P16" i="27" s="1"/>
  <c r="H16" i="27"/>
  <c r="B16" i="27"/>
  <c r="U16" i="27" s="1"/>
  <c r="T15" i="27"/>
  <c r="P15" i="27" s="1"/>
  <c r="H15" i="27"/>
  <c r="B15" i="27"/>
  <c r="U15" i="27" s="1"/>
  <c r="T14" i="27"/>
  <c r="P14" i="27" s="1"/>
  <c r="H14" i="27"/>
  <c r="B14" i="27"/>
  <c r="U14" i="27" s="1"/>
  <c r="T13" i="27"/>
  <c r="P13" i="27" s="1"/>
  <c r="H13" i="27"/>
  <c r="B13" i="27"/>
  <c r="U13" i="27" s="1"/>
  <c r="T12" i="27"/>
  <c r="P12" i="27" s="1"/>
  <c r="H12" i="27"/>
  <c r="B12" i="27"/>
  <c r="U12" i="27" s="1"/>
  <c r="T11" i="27"/>
  <c r="P11" i="27" s="1"/>
  <c r="H11" i="27"/>
  <c r="B11" i="27"/>
  <c r="U11" i="27" s="1"/>
  <c r="T10" i="27"/>
  <c r="P10" i="27" s="1"/>
  <c r="H10" i="27"/>
  <c r="B10" i="27"/>
  <c r="U10" i="27" s="1"/>
  <c r="T9" i="27"/>
  <c r="T45" i="27" s="1"/>
  <c r="H9" i="27"/>
  <c r="B9" i="27"/>
  <c r="U9" i="27" s="1"/>
  <c r="U45" i="27" s="1"/>
  <c r="P8" i="27"/>
  <c r="H8" i="27"/>
  <c r="B8" i="27"/>
  <c r="P7" i="27"/>
  <c r="H7" i="27"/>
  <c r="B7" i="27"/>
  <c r="P6" i="27"/>
  <c r="H6" i="27"/>
  <c r="B6" i="27"/>
  <c r="P5" i="27"/>
  <c r="I5" i="27"/>
  <c r="J5" i="27" s="1"/>
  <c r="H5" i="27"/>
  <c r="B5" i="27"/>
  <c r="O44" i="26"/>
  <c r="O43" i="26"/>
  <c r="O42" i="26"/>
  <c r="O41" i="26"/>
  <c r="O40" i="26"/>
  <c r="O39" i="26"/>
  <c r="O38" i="26"/>
  <c r="O37" i="26"/>
  <c r="O36" i="26"/>
  <c r="O35" i="26"/>
  <c r="O34" i="26"/>
  <c r="O33" i="26"/>
  <c r="O32" i="26"/>
  <c r="O18" i="26"/>
  <c r="O17" i="26"/>
  <c r="O16" i="26"/>
  <c r="O15" i="26"/>
  <c r="O14" i="26"/>
  <c r="O13" i="26"/>
  <c r="O12" i="26"/>
  <c r="O11" i="26"/>
  <c r="O10" i="26"/>
  <c r="O9" i="26"/>
  <c r="O8" i="26"/>
  <c r="O7" i="26"/>
  <c r="O6" i="26"/>
  <c r="O5" i="26"/>
  <c r="O4" i="26"/>
  <c r="H45" i="27" l="1"/>
  <c r="I45" i="27"/>
  <c r="I6" i="27"/>
  <c r="P9" i="27"/>
  <c r="F172" i="8"/>
  <c r="J6" i="27" l="1"/>
  <c r="I7" i="27"/>
  <c r="V43" i="26"/>
  <c r="V42" i="26"/>
  <c r="V41" i="26"/>
  <c r="V40" i="26"/>
  <c r="V39" i="26"/>
  <c r="V38" i="26"/>
  <c r="J7" i="27" l="1"/>
  <c r="I8" i="27"/>
  <c r="W44" i="26"/>
  <c r="V44" i="26"/>
  <c r="H44" i="26"/>
  <c r="I9" i="27" l="1"/>
  <c r="J8" i="27"/>
  <c r="R44" i="26"/>
  <c r="U45" i="26"/>
  <c r="S45" i="26"/>
  <c r="G45" i="26"/>
  <c r="F45" i="26"/>
  <c r="E45" i="26"/>
  <c r="H43" i="26"/>
  <c r="B43" i="26"/>
  <c r="H42" i="26"/>
  <c r="B42" i="26"/>
  <c r="H41" i="26"/>
  <c r="B41" i="26"/>
  <c r="H40" i="26"/>
  <c r="B40" i="26"/>
  <c r="H39" i="26"/>
  <c r="B39" i="26"/>
  <c r="H38" i="26"/>
  <c r="B38" i="26"/>
  <c r="W38" i="26" s="1"/>
  <c r="R38" i="26" s="1"/>
  <c r="V37" i="26"/>
  <c r="H37" i="26"/>
  <c r="B37" i="26"/>
  <c r="V36" i="26"/>
  <c r="H36" i="26"/>
  <c r="B36" i="26"/>
  <c r="V35" i="26"/>
  <c r="H35" i="26"/>
  <c r="B35" i="26"/>
  <c r="W35" i="26" s="1"/>
  <c r="V34" i="26"/>
  <c r="H34" i="26"/>
  <c r="B34" i="26"/>
  <c r="W34" i="26" s="1"/>
  <c r="R34" i="26" s="1"/>
  <c r="V33" i="26"/>
  <c r="H33" i="26"/>
  <c r="B33" i="26"/>
  <c r="V32" i="26"/>
  <c r="H32" i="26"/>
  <c r="B32" i="26"/>
  <c r="V18" i="26"/>
  <c r="H18" i="26"/>
  <c r="B18" i="26"/>
  <c r="W18" i="26" s="1"/>
  <c r="V17" i="26"/>
  <c r="H17" i="26"/>
  <c r="B17" i="26"/>
  <c r="W17" i="26" s="1"/>
  <c r="R17" i="26" s="1"/>
  <c r="V16" i="26"/>
  <c r="H16" i="26"/>
  <c r="B16" i="26"/>
  <c r="V15" i="26"/>
  <c r="H15" i="26"/>
  <c r="B15" i="26"/>
  <c r="V14" i="26"/>
  <c r="H14" i="26"/>
  <c r="B14" i="26"/>
  <c r="W14" i="26" s="1"/>
  <c r="V13" i="26"/>
  <c r="H13" i="26"/>
  <c r="B13" i="26"/>
  <c r="W13" i="26" s="1"/>
  <c r="R13" i="26" s="1"/>
  <c r="V12" i="26"/>
  <c r="H12" i="26"/>
  <c r="B12" i="26"/>
  <c r="V11" i="26"/>
  <c r="H11" i="26"/>
  <c r="B11" i="26"/>
  <c r="V10" i="26"/>
  <c r="H10" i="26"/>
  <c r="B10" i="26"/>
  <c r="W10" i="26" s="1"/>
  <c r="V9" i="26"/>
  <c r="H9" i="26"/>
  <c r="B9" i="26"/>
  <c r="H8" i="26"/>
  <c r="B8" i="26"/>
  <c r="R7" i="26"/>
  <c r="H7" i="26"/>
  <c r="B7" i="26"/>
  <c r="R6" i="26"/>
  <c r="H6" i="26"/>
  <c r="R5" i="26"/>
  <c r="I5" i="26"/>
  <c r="I6" i="26" s="1"/>
  <c r="H5" i="26"/>
  <c r="B5" i="26"/>
  <c r="B6" i="26" s="1"/>
  <c r="J9" i="27" l="1"/>
  <c r="I10" i="27"/>
  <c r="W43" i="26"/>
  <c r="R43" i="26" s="1"/>
  <c r="W42" i="26"/>
  <c r="V45" i="26"/>
  <c r="W9" i="26"/>
  <c r="R9" i="26" s="1"/>
  <c r="I45" i="26"/>
  <c r="W41" i="26"/>
  <c r="R41" i="26" s="1"/>
  <c r="H45" i="26"/>
  <c r="W12" i="26"/>
  <c r="R12" i="26" s="1"/>
  <c r="W16" i="26"/>
  <c r="R16" i="26" s="1"/>
  <c r="W11" i="26"/>
  <c r="R11" i="26" s="1"/>
  <c r="W15" i="26"/>
  <c r="R15" i="26" s="1"/>
  <c r="W32" i="26"/>
  <c r="R32" i="26" s="1"/>
  <c r="W36" i="26"/>
  <c r="R36" i="26" s="1"/>
  <c r="W39" i="26"/>
  <c r="R39" i="26" s="1"/>
  <c r="R42" i="26"/>
  <c r="R35" i="26"/>
  <c r="R18" i="26"/>
  <c r="J6" i="26"/>
  <c r="I7" i="26"/>
  <c r="R10" i="26"/>
  <c r="R14" i="26"/>
  <c r="W33" i="26"/>
  <c r="R33" i="26" s="1"/>
  <c r="W37" i="26"/>
  <c r="R37" i="26" s="1"/>
  <c r="W40" i="26"/>
  <c r="R40" i="26" s="1"/>
  <c r="J5" i="26"/>
  <c r="R8" i="26"/>
  <c r="J10" i="27" l="1"/>
  <c r="I11" i="27"/>
  <c r="W45" i="26"/>
  <c r="I8" i="26"/>
  <c r="J7" i="26"/>
  <c r="J11" i="27" l="1"/>
  <c r="I12" i="27"/>
  <c r="I9" i="26"/>
  <c r="J8" i="26"/>
  <c r="F186" i="8"/>
  <c r="J12" i="27" l="1"/>
  <c r="I13" i="27"/>
  <c r="I10" i="26"/>
  <c r="J9" i="26"/>
  <c r="J13" i="27" l="1"/>
  <c r="I14" i="27"/>
  <c r="J10" i="26"/>
  <c r="I11" i="26"/>
  <c r="V24" i="13"/>
  <c r="J14" i="27" l="1"/>
  <c r="I15" i="27"/>
  <c r="J11" i="26"/>
  <c r="I12" i="26"/>
  <c r="J15" i="27" l="1"/>
  <c r="I16" i="27"/>
  <c r="I13" i="26"/>
  <c r="J12" i="26"/>
  <c r="J16" i="27" l="1"/>
  <c r="I17" i="27"/>
  <c r="I14" i="26"/>
  <c r="J13" i="26"/>
  <c r="J17" i="27" l="1"/>
  <c r="I18" i="27"/>
  <c r="J14" i="26"/>
  <c r="I15" i="26"/>
  <c r="G4" i="8"/>
  <c r="G155" i="8"/>
  <c r="G133" i="8"/>
  <c r="J18" i="27" l="1"/>
  <c r="I32" i="27"/>
  <c r="J15" i="26"/>
  <c r="I16" i="26"/>
  <c r="J32" i="27" l="1"/>
  <c r="I33" i="27"/>
  <c r="J16" i="26"/>
  <c r="I17" i="26"/>
  <c r="F99" i="25"/>
  <c r="J33" i="27" l="1"/>
  <c r="I34" i="27"/>
  <c r="I18" i="26"/>
  <c r="J17" i="26"/>
  <c r="J34" i="27" l="1"/>
  <c r="I35" i="27"/>
  <c r="J18" i="26"/>
  <c r="I32" i="26"/>
  <c r="F78" i="25"/>
  <c r="J35" i="27" l="1"/>
  <c r="I36" i="27"/>
  <c r="J32" i="26"/>
  <c r="I33" i="26"/>
  <c r="M70" i="25"/>
  <c r="J36" i="27" l="1"/>
  <c r="I37" i="27"/>
  <c r="J33" i="26"/>
  <c r="I34" i="26"/>
  <c r="J37" i="27" l="1"/>
  <c r="I38" i="27"/>
  <c r="I35" i="26"/>
  <c r="J34" i="26"/>
  <c r="M64" i="7"/>
  <c r="J38" i="27" l="1"/>
  <c r="I39" i="27"/>
  <c r="J35" i="26"/>
  <c r="I36" i="26"/>
  <c r="M63" i="7"/>
  <c r="J39" i="27" l="1"/>
  <c r="I40" i="27"/>
  <c r="J36" i="26"/>
  <c r="I37" i="26"/>
  <c r="J40" i="27" l="1"/>
  <c r="I41" i="27"/>
  <c r="J37" i="26"/>
  <c r="I38" i="26"/>
  <c r="J41" i="27" l="1"/>
  <c r="I42" i="27"/>
  <c r="I39" i="26"/>
  <c r="J38" i="26"/>
  <c r="J42" i="27" l="1"/>
  <c r="I43" i="27"/>
  <c r="J39" i="26"/>
  <c r="I40" i="26"/>
  <c r="J43" i="27" l="1"/>
  <c r="I44" i="27"/>
  <c r="J44" i="27" s="1"/>
  <c r="J40" i="26"/>
  <c r="I41" i="26"/>
  <c r="I42" i="26" l="1"/>
  <c r="J41" i="26"/>
  <c r="AB99" i="25"/>
  <c r="V99" i="25"/>
  <c r="M99" i="25"/>
  <c r="L99" i="25"/>
  <c r="E99" i="25"/>
  <c r="AO96" i="25"/>
  <c r="AK96" i="25"/>
  <c r="AI96" i="25"/>
  <c r="AH96" i="25"/>
  <c r="AJ96" i="25" s="1"/>
  <c r="AK95" i="25"/>
  <c r="AI95" i="25"/>
  <c r="AH95" i="25"/>
  <c r="AJ95" i="25" s="1"/>
  <c r="AK94" i="25"/>
  <c r="AI94" i="25"/>
  <c r="AH94" i="25"/>
  <c r="AJ94" i="25" s="1"/>
  <c r="AK93" i="25"/>
  <c r="AI93" i="25"/>
  <c r="AH93" i="25"/>
  <c r="BG92" i="25"/>
  <c r="BE92" i="25"/>
  <c r="BC92" i="25"/>
  <c r="BA92" i="25"/>
  <c r="AY92" i="25"/>
  <c r="AW92" i="25"/>
  <c r="AU92" i="25"/>
  <c r="AS92" i="25"/>
  <c r="AQ92" i="25"/>
  <c r="AO92" i="25"/>
  <c r="AK92" i="25"/>
  <c r="AI92" i="25"/>
  <c r="AH92" i="25"/>
  <c r="AK91" i="25"/>
  <c r="AI91" i="25"/>
  <c r="AH91" i="25"/>
  <c r="AK90" i="25"/>
  <c r="AI90" i="25"/>
  <c r="AH90" i="25"/>
  <c r="AJ90" i="25" s="1"/>
  <c r="AK89" i="25"/>
  <c r="AI89" i="25"/>
  <c r="AH89" i="25"/>
  <c r="AK88" i="25"/>
  <c r="AI88" i="25"/>
  <c r="AH88" i="25"/>
  <c r="AJ88" i="25" s="1"/>
  <c r="AK87" i="25"/>
  <c r="AI87" i="25"/>
  <c r="AH87" i="25"/>
  <c r="BG86" i="25"/>
  <c r="BE86" i="25"/>
  <c r="BC86" i="25"/>
  <c r="BA86" i="25"/>
  <c r="AY86" i="25"/>
  <c r="AW86" i="25"/>
  <c r="AU86" i="25"/>
  <c r="AS86" i="25"/>
  <c r="AQ86" i="25"/>
  <c r="AO86" i="25"/>
  <c r="AK86" i="25"/>
  <c r="AI86" i="25"/>
  <c r="AH86" i="25"/>
  <c r="AK85" i="25"/>
  <c r="AI85" i="25"/>
  <c r="AH85" i="25"/>
  <c r="AK84" i="25"/>
  <c r="AI84" i="25"/>
  <c r="AH84" i="25"/>
  <c r="AK83" i="25"/>
  <c r="AI83" i="25"/>
  <c r="AH83" i="25"/>
  <c r="AJ83" i="25" s="1"/>
  <c r="AK82" i="25"/>
  <c r="AI82" i="25"/>
  <c r="AH82" i="25"/>
  <c r="AJ82" i="25" s="1"/>
  <c r="AK81" i="25"/>
  <c r="AI81" i="25"/>
  <c r="AH81" i="25"/>
  <c r="BG80" i="25"/>
  <c r="BE80" i="25"/>
  <c r="BC80" i="25"/>
  <c r="BA80" i="25"/>
  <c r="AY80" i="25"/>
  <c r="AW80" i="25"/>
  <c r="AU80" i="25"/>
  <c r="AS80" i="25"/>
  <c r="AQ80" i="25"/>
  <c r="AO80" i="25"/>
  <c r="AK80" i="25"/>
  <c r="AI80" i="25"/>
  <c r="AH80" i="25"/>
  <c r="AK79" i="25"/>
  <c r="AI79" i="25"/>
  <c r="AH79" i="25"/>
  <c r="AJ79" i="25" s="1"/>
  <c r="AK78" i="25"/>
  <c r="AI78" i="25"/>
  <c r="AH78" i="25"/>
  <c r="AK77" i="25"/>
  <c r="AI77" i="25"/>
  <c r="AH77" i="25"/>
  <c r="AJ77" i="25" s="1"/>
  <c r="AK76" i="25"/>
  <c r="AI76" i="25"/>
  <c r="AH76" i="25"/>
  <c r="AJ76" i="25" s="1"/>
  <c r="AK75" i="25"/>
  <c r="AI75" i="25"/>
  <c r="AH75" i="25"/>
  <c r="BG74" i="25"/>
  <c r="BE74" i="25"/>
  <c r="BC74" i="25"/>
  <c r="BA74" i="25"/>
  <c r="AY74" i="25"/>
  <c r="AW74" i="25"/>
  <c r="AU74" i="25"/>
  <c r="AS74" i="25"/>
  <c r="AQ74" i="25"/>
  <c r="AO74" i="25"/>
  <c r="AK74" i="25"/>
  <c r="AI74" i="25"/>
  <c r="AH74" i="25"/>
  <c r="AK73" i="25"/>
  <c r="AI73" i="25"/>
  <c r="AH73" i="25"/>
  <c r="AJ73" i="25" s="1"/>
  <c r="AK72" i="25"/>
  <c r="AI72" i="25"/>
  <c r="AH72" i="25"/>
  <c r="AK71" i="25"/>
  <c r="AI71" i="25"/>
  <c r="AH71" i="25"/>
  <c r="AJ71" i="25" s="1"/>
  <c r="AK70" i="25"/>
  <c r="AI70" i="25"/>
  <c r="AH70" i="25"/>
  <c r="AK69" i="25"/>
  <c r="AI69" i="25"/>
  <c r="AH69" i="25"/>
  <c r="BG68" i="25"/>
  <c r="BE68" i="25"/>
  <c r="BC68" i="25"/>
  <c r="BA68" i="25"/>
  <c r="AY68" i="25"/>
  <c r="AW68" i="25"/>
  <c r="AU68" i="25"/>
  <c r="AS68" i="25"/>
  <c r="AQ68" i="25"/>
  <c r="AO68" i="25"/>
  <c r="AK68" i="25"/>
  <c r="AI68" i="25"/>
  <c r="AH68" i="25"/>
  <c r="AK67" i="25"/>
  <c r="AI67" i="25"/>
  <c r="AH67" i="25"/>
  <c r="AJ67" i="25" s="1"/>
  <c r="AK66" i="25"/>
  <c r="AI66" i="25"/>
  <c r="AH66" i="25"/>
  <c r="AJ66" i="25" s="1"/>
  <c r="AK65" i="25"/>
  <c r="AI65" i="25"/>
  <c r="AH65" i="25"/>
  <c r="AJ65" i="25" s="1"/>
  <c r="AK64" i="25"/>
  <c r="AI64" i="25"/>
  <c r="AH64" i="25"/>
  <c r="AK63" i="25"/>
  <c r="AI63" i="25"/>
  <c r="AH63" i="25"/>
  <c r="BG62" i="25"/>
  <c r="BE62" i="25"/>
  <c r="BC62" i="25"/>
  <c r="BA62" i="25"/>
  <c r="AY62" i="25"/>
  <c r="AW62" i="25"/>
  <c r="AU62" i="25"/>
  <c r="AS62" i="25"/>
  <c r="AQ62" i="25"/>
  <c r="AO62" i="25"/>
  <c r="AK62" i="25"/>
  <c r="AI62" i="25"/>
  <c r="AH62" i="25"/>
  <c r="AK61" i="25"/>
  <c r="AI61" i="25"/>
  <c r="AH61" i="25"/>
  <c r="AJ61" i="25" s="1"/>
  <c r="AK60" i="25"/>
  <c r="AI60" i="25"/>
  <c r="AH60" i="25"/>
  <c r="AK59" i="25"/>
  <c r="AI59" i="25"/>
  <c r="AH59" i="25"/>
  <c r="AJ59" i="25" s="1"/>
  <c r="AK58" i="25"/>
  <c r="AI58" i="25"/>
  <c r="AH58" i="25"/>
  <c r="AK57" i="25"/>
  <c r="AI57" i="25"/>
  <c r="AH57" i="25"/>
  <c r="BG56" i="25"/>
  <c r="BE56" i="25"/>
  <c r="BC56" i="25"/>
  <c r="BA56" i="25"/>
  <c r="AY56" i="25"/>
  <c r="AW56" i="25"/>
  <c r="AU56" i="25"/>
  <c r="AS56" i="25"/>
  <c r="AQ56" i="25"/>
  <c r="AO56" i="25"/>
  <c r="AK56" i="25"/>
  <c r="AI56" i="25"/>
  <c r="AH56" i="25"/>
  <c r="AK55" i="25"/>
  <c r="AI55" i="25"/>
  <c r="AH55" i="25"/>
  <c r="AJ55" i="25" s="1"/>
  <c r="AK54" i="25"/>
  <c r="AI54" i="25"/>
  <c r="AH54" i="25"/>
  <c r="AJ54" i="25" s="1"/>
  <c r="AK53" i="25"/>
  <c r="AI53" i="25"/>
  <c r="AH53" i="25"/>
  <c r="AJ53" i="25" s="1"/>
  <c r="AK52" i="25"/>
  <c r="AI52" i="25"/>
  <c r="AH52" i="25"/>
  <c r="AK51" i="25"/>
  <c r="AI51" i="25"/>
  <c r="AH51" i="25"/>
  <c r="BG50" i="25"/>
  <c r="BE50" i="25"/>
  <c r="BC50" i="25"/>
  <c r="BA50" i="25"/>
  <c r="AY50" i="25"/>
  <c r="AW50" i="25"/>
  <c r="AU50" i="25"/>
  <c r="AS50" i="25"/>
  <c r="AQ50" i="25"/>
  <c r="AO50" i="25"/>
  <c r="AK50" i="25"/>
  <c r="AI50" i="25"/>
  <c r="AH50" i="25"/>
  <c r="AK49" i="25"/>
  <c r="AI49" i="25"/>
  <c r="AH49" i="25"/>
  <c r="AJ49" i="25" s="1"/>
  <c r="AK48" i="25"/>
  <c r="AI48" i="25"/>
  <c r="AH48" i="25"/>
  <c r="AJ48" i="25" s="1"/>
  <c r="AK47" i="25"/>
  <c r="AI47" i="25"/>
  <c r="AH47" i="25"/>
  <c r="AJ47" i="25" s="1"/>
  <c r="AK46" i="25"/>
  <c r="AI46" i="25"/>
  <c r="AH46" i="25"/>
  <c r="AK45" i="25"/>
  <c r="AI45" i="25"/>
  <c r="AH45" i="25"/>
  <c r="BG44" i="25"/>
  <c r="BE44" i="25"/>
  <c r="BC44" i="25"/>
  <c r="BA44" i="25"/>
  <c r="AY44" i="25"/>
  <c r="AW44" i="25"/>
  <c r="AU44" i="25"/>
  <c r="AS44" i="25"/>
  <c r="AQ44" i="25"/>
  <c r="AO44" i="25"/>
  <c r="AK44" i="25"/>
  <c r="AI44" i="25"/>
  <c r="AH44" i="25"/>
  <c r="AK43" i="25"/>
  <c r="AI43" i="25"/>
  <c r="AH43" i="25"/>
  <c r="AJ43" i="25" s="1"/>
  <c r="AK42" i="25"/>
  <c r="AI42" i="25"/>
  <c r="AH42" i="25"/>
  <c r="AK41" i="25"/>
  <c r="AI41" i="25"/>
  <c r="AH41" i="25"/>
  <c r="AJ41" i="25" s="1"/>
  <c r="AK40" i="25"/>
  <c r="AI40" i="25"/>
  <c r="AH40" i="25"/>
  <c r="AK39" i="25"/>
  <c r="AI39" i="25"/>
  <c r="AH39" i="25"/>
  <c r="BG38" i="25"/>
  <c r="BE38" i="25"/>
  <c r="BC38" i="25"/>
  <c r="BA38" i="25"/>
  <c r="AY38" i="25"/>
  <c r="AW38" i="25"/>
  <c r="AU38" i="25"/>
  <c r="AS38" i="25"/>
  <c r="AQ38" i="25"/>
  <c r="AO38" i="25"/>
  <c r="AK38" i="25"/>
  <c r="AI38" i="25"/>
  <c r="AH38" i="25"/>
  <c r="AK37" i="25"/>
  <c r="AI37" i="25"/>
  <c r="AH37" i="25"/>
  <c r="AJ37" i="25" s="1"/>
  <c r="AK36" i="25"/>
  <c r="AI36" i="25"/>
  <c r="AH36" i="25"/>
  <c r="AJ36" i="25" s="1"/>
  <c r="AK35" i="25"/>
  <c r="AI35" i="25"/>
  <c r="AH35" i="25"/>
  <c r="AJ35" i="25" s="1"/>
  <c r="AK34" i="25"/>
  <c r="AI34" i="25"/>
  <c r="AH34" i="25"/>
  <c r="AK33" i="25"/>
  <c r="AI33" i="25"/>
  <c r="AH33" i="25"/>
  <c r="BG32" i="25"/>
  <c r="BE32" i="25"/>
  <c r="BC32" i="25"/>
  <c r="BA32" i="25"/>
  <c r="AY32" i="25"/>
  <c r="AW32" i="25"/>
  <c r="AU32" i="25"/>
  <c r="AS32" i="25"/>
  <c r="AQ32" i="25"/>
  <c r="AO32" i="25"/>
  <c r="AK32" i="25"/>
  <c r="AI32" i="25"/>
  <c r="AH32" i="25"/>
  <c r="AK31" i="25"/>
  <c r="AI31" i="25"/>
  <c r="AH31" i="25"/>
  <c r="AJ31" i="25" s="1"/>
  <c r="AK30" i="25"/>
  <c r="AI30" i="25"/>
  <c r="AH30" i="25"/>
  <c r="AJ30" i="25" s="1"/>
  <c r="AK29" i="25"/>
  <c r="AI29" i="25"/>
  <c r="AH29" i="25"/>
  <c r="AJ29" i="25" s="1"/>
  <c r="AK28" i="25"/>
  <c r="AI28" i="25"/>
  <c r="AH28" i="25"/>
  <c r="AK27" i="25"/>
  <c r="AI27" i="25"/>
  <c r="AH27" i="25"/>
  <c r="BG26" i="25"/>
  <c r="BE26" i="25"/>
  <c r="BC26" i="25"/>
  <c r="BA26" i="25"/>
  <c r="AY26" i="25"/>
  <c r="AW26" i="25"/>
  <c r="AU26" i="25"/>
  <c r="AS26" i="25"/>
  <c r="AQ26" i="25"/>
  <c r="AO26" i="25"/>
  <c r="AK26" i="25"/>
  <c r="AI26" i="25"/>
  <c r="AH26" i="25"/>
  <c r="AJ26" i="25" s="1"/>
  <c r="AK25" i="25"/>
  <c r="AI25" i="25"/>
  <c r="AH25" i="25"/>
  <c r="AK24" i="25"/>
  <c r="AI24" i="25"/>
  <c r="AH24" i="25"/>
  <c r="AJ24" i="25" s="1"/>
  <c r="AK23" i="25"/>
  <c r="AI23" i="25"/>
  <c r="AH23" i="25"/>
  <c r="AJ23" i="25" s="1"/>
  <c r="AK22" i="25"/>
  <c r="AI22" i="25"/>
  <c r="AH22" i="25"/>
  <c r="AJ22" i="25" s="1"/>
  <c r="AK21" i="25"/>
  <c r="AI21" i="25"/>
  <c r="AH21" i="25"/>
  <c r="BG20" i="25"/>
  <c r="BE20" i="25"/>
  <c r="BC20" i="25"/>
  <c r="BA20" i="25"/>
  <c r="AY20" i="25"/>
  <c r="AW20" i="25"/>
  <c r="AU20" i="25"/>
  <c r="AS20" i="25"/>
  <c r="AQ20" i="25"/>
  <c r="AO20" i="25"/>
  <c r="AK20" i="25"/>
  <c r="AI20" i="25"/>
  <c r="AH20" i="25"/>
  <c r="AK19" i="25"/>
  <c r="AI19" i="25"/>
  <c r="AH19" i="25"/>
  <c r="AK18" i="25"/>
  <c r="AI18" i="25"/>
  <c r="AH18" i="25"/>
  <c r="AJ18" i="25" s="1"/>
  <c r="AK17" i="25"/>
  <c r="AI17" i="25"/>
  <c r="AH17" i="25"/>
  <c r="AJ17" i="25" s="1"/>
  <c r="AK16" i="25"/>
  <c r="AI16" i="25"/>
  <c r="AH16" i="25"/>
  <c r="AJ16" i="25" s="1"/>
  <c r="AK15" i="25"/>
  <c r="AI15" i="25"/>
  <c r="AH15" i="25"/>
  <c r="BG14" i="25"/>
  <c r="BE14" i="25"/>
  <c r="BC14" i="25"/>
  <c r="BA14" i="25"/>
  <c r="AY14" i="25"/>
  <c r="AW14" i="25"/>
  <c r="AU14" i="25"/>
  <c r="AS14" i="25"/>
  <c r="AQ14" i="25"/>
  <c r="AO14" i="25"/>
  <c r="AK14" i="25"/>
  <c r="AI14" i="25"/>
  <c r="AH14" i="25"/>
  <c r="AJ14" i="25" s="1"/>
  <c r="AK13" i="25"/>
  <c r="AI13" i="25"/>
  <c r="AH13" i="25"/>
  <c r="AK12" i="25"/>
  <c r="AI12" i="25"/>
  <c r="AH12" i="25"/>
  <c r="AK11" i="25"/>
  <c r="AI11" i="25"/>
  <c r="AH11" i="25"/>
  <c r="AK10" i="25"/>
  <c r="AI10" i="25"/>
  <c r="AH10" i="25"/>
  <c r="AJ10" i="25" s="1"/>
  <c r="AK9" i="25"/>
  <c r="AI9" i="25"/>
  <c r="AH9" i="25"/>
  <c r="BG8" i="25"/>
  <c r="BE8" i="25"/>
  <c r="BC8" i="25"/>
  <c r="BA8" i="25"/>
  <c r="AY8" i="25"/>
  <c r="AW8" i="25"/>
  <c r="AU8" i="25"/>
  <c r="AS8" i="25"/>
  <c r="AQ8" i="25"/>
  <c r="AO8" i="25"/>
  <c r="AK8" i="25"/>
  <c r="AI8" i="25"/>
  <c r="AH8" i="25"/>
  <c r="AK7" i="25"/>
  <c r="AI7" i="25"/>
  <c r="AH7" i="25"/>
  <c r="AK6" i="25"/>
  <c r="AI6" i="25"/>
  <c r="AH6" i="25"/>
  <c r="AK5" i="25"/>
  <c r="AI5" i="25"/>
  <c r="AH5" i="25"/>
  <c r="AJ5" i="25" s="1"/>
  <c r="AK4" i="25"/>
  <c r="AI4" i="25"/>
  <c r="AH4" i="25"/>
  <c r="AJ4" i="25" s="1"/>
  <c r="AK3" i="25"/>
  <c r="AI3" i="25"/>
  <c r="AH3" i="25"/>
  <c r="AK2" i="25"/>
  <c r="AI2" i="25"/>
  <c r="AH2" i="25"/>
  <c r="I43" i="26" l="1"/>
  <c r="I44" i="26" s="1"/>
  <c r="J44" i="26" s="1"/>
  <c r="J42" i="26"/>
  <c r="AJ93" i="25"/>
  <c r="AJ92" i="25"/>
  <c r="AJ91" i="25"/>
  <c r="AJ89" i="25"/>
  <c r="AJ86" i="25"/>
  <c r="AL91" i="25"/>
  <c r="AJ84" i="25"/>
  <c r="AJ85" i="25"/>
  <c r="AL85" i="25"/>
  <c r="AJ80" i="25"/>
  <c r="AJ78" i="25"/>
  <c r="AJ74" i="25"/>
  <c r="AL79" i="25"/>
  <c r="AJ68" i="25"/>
  <c r="AL73" i="25"/>
  <c r="AJ62" i="25"/>
  <c r="AJ56" i="25"/>
  <c r="AJ50" i="25"/>
  <c r="AJ44" i="25"/>
  <c r="AJ42" i="25"/>
  <c r="AJ33" i="25"/>
  <c r="AJ27" i="25"/>
  <c r="AM31" i="25"/>
  <c r="AJ9" i="25"/>
  <c r="AJ70" i="25"/>
  <c r="AI98" i="25"/>
  <c r="AJ72" i="25"/>
  <c r="AM7" i="25"/>
  <c r="AJ15" i="25"/>
  <c r="AJ19" i="25"/>
  <c r="AJ20" i="25"/>
  <c r="AJ21" i="25"/>
  <c r="AJ25" i="25"/>
  <c r="AJ28" i="25"/>
  <c r="AJ34" i="25"/>
  <c r="AJ38" i="25"/>
  <c r="AJ40" i="25"/>
  <c r="AJ46" i="25"/>
  <c r="AJ52" i="25"/>
  <c r="AJ58" i="25"/>
  <c r="AJ64" i="25"/>
  <c r="AJ60" i="25"/>
  <c r="AJ13" i="25"/>
  <c r="AL49" i="25"/>
  <c r="AL55" i="25"/>
  <c r="AL67" i="25"/>
  <c r="AM43" i="25"/>
  <c r="AM49" i="25"/>
  <c r="AM55" i="25"/>
  <c r="AM61" i="25"/>
  <c r="AM67" i="25"/>
  <c r="AM73" i="25"/>
  <c r="AM79" i="25"/>
  <c r="AM85" i="25"/>
  <c r="AM91" i="25"/>
  <c r="AJ32" i="25"/>
  <c r="AL61" i="25"/>
  <c r="AJ8" i="25"/>
  <c r="AL25" i="25"/>
  <c r="AL7" i="25"/>
  <c r="AJ3" i="25"/>
  <c r="AJ7" i="25"/>
  <c r="AM13" i="25"/>
  <c r="AJ12" i="25"/>
  <c r="AL19" i="25"/>
  <c r="AM25" i="25"/>
  <c r="AL31" i="25"/>
  <c r="AL13" i="25"/>
  <c r="AK98" i="25"/>
  <c r="AJ2" i="25"/>
  <c r="AH98" i="25"/>
  <c r="AJ6" i="25"/>
  <c r="AJ11" i="25"/>
  <c r="AL43" i="25"/>
  <c r="AJ39" i="25"/>
  <c r="AL37" i="25"/>
  <c r="AM19" i="25"/>
  <c r="AM37" i="25"/>
  <c r="AJ45" i="25"/>
  <c r="AJ51" i="25"/>
  <c r="AJ57" i="25"/>
  <c r="AJ63" i="25"/>
  <c r="AJ69" i="25"/>
  <c r="AJ75" i="25"/>
  <c r="AJ81" i="25"/>
  <c r="AJ87" i="25"/>
  <c r="J43" i="26" l="1"/>
  <c r="AJ98" i="25"/>
  <c r="AM98" i="25"/>
  <c r="AL98" i="25"/>
  <c r="V23" i="13" l="1"/>
  <c r="V22" i="13" l="1"/>
  <c r="F144" i="8" l="1"/>
  <c r="S15" i="24" l="1"/>
  <c r="S18" i="24"/>
  <c r="S17" i="24"/>
  <c r="S16" i="24"/>
  <c r="S42" i="24" l="1"/>
  <c r="L33" i="22" l="1"/>
  <c r="P46" i="24" l="1"/>
  <c r="R46" i="24"/>
  <c r="G46" i="24"/>
  <c r="E46" i="24"/>
  <c r="S45" i="24"/>
  <c r="H45" i="24"/>
  <c r="S44" i="24"/>
  <c r="H44" i="24"/>
  <c r="B44" i="24"/>
  <c r="S43" i="24"/>
  <c r="H43" i="24"/>
  <c r="B43" i="24"/>
  <c r="H42" i="24"/>
  <c r="B42" i="24"/>
  <c r="S41" i="24"/>
  <c r="H41" i="24"/>
  <c r="B41" i="24"/>
  <c r="S40" i="24"/>
  <c r="H40" i="24"/>
  <c r="B40" i="24"/>
  <c r="S39" i="24"/>
  <c r="H39" i="24"/>
  <c r="B39" i="24"/>
  <c r="H38" i="24"/>
  <c r="B38" i="24"/>
  <c r="S37" i="24"/>
  <c r="H37" i="24"/>
  <c r="B37" i="24"/>
  <c r="S36" i="24"/>
  <c r="H36" i="24"/>
  <c r="B36" i="24"/>
  <c r="S35" i="24"/>
  <c r="H35" i="24"/>
  <c r="B35" i="24"/>
  <c r="S34" i="24"/>
  <c r="H34" i="24"/>
  <c r="B34" i="24"/>
  <c r="S33" i="24"/>
  <c r="H33" i="24"/>
  <c r="B33" i="24"/>
  <c r="S32" i="24"/>
  <c r="H32" i="24"/>
  <c r="B32" i="24"/>
  <c r="H18" i="24"/>
  <c r="B18" i="24"/>
  <c r="H17" i="24"/>
  <c r="B17" i="24"/>
  <c r="H16" i="24"/>
  <c r="B16" i="24"/>
  <c r="H15" i="24"/>
  <c r="B15" i="24"/>
  <c r="S14" i="24"/>
  <c r="H14" i="24"/>
  <c r="B14" i="24"/>
  <c r="S13" i="24"/>
  <c r="H13" i="24"/>
  <c r="B13" i="24"/>
  <c r="S12" i="24"/>
  <c r="H12" i="24"/>
  <c r="B12" i="24"/>
  <c r="S11" i="24"/>
  <c r="H11" i="24"/>
  <c r="B11" i="24"/>
  <c r="S10" i="24"/>
  <c r="H10" i="24"/>
  <c r="B10" i="24"/>
  <c r="S9" i="24"/>
  <c r="H9" i="24"/>
  <c r="B9" i="24"/>
  <c r="S8" i="24"/>
  <c r="B8" i="24"/>
  <c r="H7" i="24"/>
  <c r="O7" i="24"/>
  <c r="B7" i="24"/>
  <c r="H6" i="24"/>
  <c r="O6" i="24"/>
  <c r="H5" i="24"/>
  <c r="O5" i="24"/>
  <c r="I5" i="24"/>
  <c r="B5" i="24"/>
  <c r="B6" i="24" s="1"/>
  <c r="T8" i="24" l="1"/>
  <c r="T37" i="24"/>
  <c r="O37" i="24" s="1"/>
  <c r="T41" i="24"/>
  <c r="O41" i="24" s="1"/>
  <c r="F46" i="24"/>
  <c r="I46" i="24" s="1"/>
  <c r="T9" i="24"/>
  <c r="O9" i="24" s="1"/>
  <c r="T13" i="24"/>
  <c r="O13" i="24" s="1"/>
  <c r="T38" i="24"/>
  <c r="O38" i="24" s="1"/>
  <c r="T45" i="24"/>
  <c r="O45" i="24" s="1"/>
  <c r="I6" i="24"/>
  <c r="J5" i="24"/>
  <c r="T10" i="24"/>
  <c r="O10" i="24" s="1"/>
  <c r="T14" i="24"/>
  <c r="O14" i="24" s="1"/>
  <c r="T18" i="24"/>
  <c r="O18" i="24" s="1"/>
  <c r="T35" i="24"/>
  <c r="O35" i="24" s="1"/>
  <c r="T39" i="24"/>
  <c r="O39" i="24" s="1"/>
  <c r="T43" i="24"/>
  <c r="O43" i="24" s="1"/>
  <c r="T16" i="24"/>
  <c r="O16" i="24" s="1"/>
  <c r="T33" i="24"/>
  <c r="O33" i="24" s="1"/>
  <c r="T17" i="24"/>
  <c r="O17" i="24" s="1"/>
  <c r="T34" i="24"/>
  <c r="O34" i="24" s="1"/>
  <c r="T42" i="24"/>
  <c r="O42" i="24" s="1"/>
  <c r="S46" i="24"/>
  <c r="H8" i="24"/>
  <c r="H46" i="24" s="1"/>
  <c r="T11" i="24"/>
  <c r="O11" i="24" s="1"/>
  <c r="T15" i="24"/>
  <c r="O15" i="24" s="1"/>
  <c r="T32" i="24"/>
  <c r="O32" i="24" s="1"/>
  <c r="T36" i="24"/>
  <c r="O36" i="24" s="1"/>
  <c r="T40" i="24"/>
  <c r="O40" i="24" s="1"/>
  <c r="T12" i="24"/>
  <c r="O12" i="24" s="1"/>
  <c r="T44" i="24"/>
  <c r="O44" i="24" s="1"/>
  <c r="T46" i="24" l="1"/>
  <c r="O8" i="24"/>
  <c r="I7" i="24"/>
  <c r="J6" i="24"/>
  <c r="J7" i="24" l="1"/>
  <c r="I8" i="24"/>
  <c r="U30" i="22"/>
  <c r="U29" i="22"/>
  <c r="U28" i="22"/>
  <c r="U27" i="22"/>
  <c r="U26" i="22"/>
  <c r="U25" i="22"/>
  <c r="U24" i="22"/>
  <c r="U23" i="22"/>
  <c r="U22" i="22"/>
  <c r="U21" i="22"/>
  <c r="U20" i="22"/>
  <c r="U19" i="22"/>
  <c r="U18" i="22"/>
  <c r="U17" i="22"/>
  <c r="U16" i="22"/>
  <c r="U15" i="22"/>
  <c r="U14" i="22"/>
  <c r="U13" i="22"/>
  <c r="U12" i="22"/>
  <c r="U11" i="22"/>
  <c r="U10" i="22"/>
  <c r="U9" i="22"/>
  <c r="U8" i="22"/>
  <c r="U7" i="22"/>
  <c r="U6" i="22"/>
  <c r="U5" i="22"/>
  <c r="U4" i="22"/>
  <c r="U3" i="22"/>
  <c r="U2" i="22"/>
  <c r="S26" i="22"/>
  <c r="S25" i="22"/>
  <c r="S21" i="22"/>
  <c r="S20" i="22"/>
  <c r="S16" i="22"/>
  <c r="S15" i="22"/>
  <c r="S11" i="22"/>
  <c r="S10" i="22"/>
  <c r="S6" i="22"/>
  <c r="S5" i="22"/>
  <c r="S30" i="22"/>
  <c r="S29" i="22"/>
  <c r="S28" i="22"/>
  <c r="S27" i="22"/>
  <c r="S24" i="22"/>
  <c r="S23" i="22"/>
  <c r="S22" i="22"/>
  <c r="S19" i="22"/>
  <c r="S18" i="22"/>
  <c r="S17" i="22"/>
  <c r="S14" i="22"/>
  <c r="S13" i="22"/>
  <c r="S12" i="22"/>
  <c r="S9" i="22"/>
  <c r="S8" i="22"/>
  <c r="R29" i="22"/>
  <c r="R28" i="22"/>
  <c r="R27" i="22"/>
  <c r="R26" i="22"/>
  <c r="R25" i="22"/>
  <c r="R24" i="22"/>
  <c r="R23" i="22"/>
  <c r="R22" i="22"/>
  <c r="R21" i="22"/>
  <c r="R20" i="22"/>
  <c r="R19" i="22"/>
  <c r="R18" i="22"/>
  <c r="R17" i="22"/>
  <c r="R16" i="22"/>
  <c r="R15" i="22"/>
  <c r="R14" i="22"/>
  <c r="R13" i="22"/>
  <c r="R12" i="22"/>
  <c r="R11" i="22"/>
  <c r="R10" i="22"/>
  <c r="R9" i="22"/>
  <c r="R8" i="22"/>
  <c r="R7" i="22"/>
  <c r="R6" i="22"/>
  <c r="R5" i="22"/>
  <c r="R4" i="22"/>
  <c r="R3" i="22"/>
  <c r="R2" i="22"/>
  <c r="E7" i="22"/>
  <c r="S7" i="22" s="1"/>
  <c r="E4" i="22"/>
  <c r="S4" i="22" s="1"/>
  <c r="E3" i="22"/>
  <c r="S3" i="22" s="1"/>
  <c r="E2" i="22"/>
  <c r="E33" i="22" s="1"/>
  <c r="F33" i="22"/>
  <c r="R30" i="22"/>
  <c r="J8" i="24" l="1"/>
  <c r="I9" i="24"/>
  <c r="S2" i="22"/>
  <c r="T14" i="22"/>
  <c r="W21" i="22"/>
  <c r="T2" i="22"/>
  <c r="T6" i="22"/>
  <c r="T11" i="22"/>
  <c r="T16" i="22"/>
  <c r="T15" i="22"/>
  <c r="T20" i="22"/>
  <c r="T25" i="22"/>
  <c r="V11" i="22"/>
  <c r="T10" i="22"/>
  <c r="W16" i="22"/>
  <c r="T13" i="22"/>
  <c r="T18" i="22"/>
  <c r="T21" i="22"/>
  <c r="T8" i="22"/>
  <c r="T30" i="22"/>
  <c r="V21" i="22"/>
  <c r="T19" i="22"/>
  <c r="T24" i="22"/>
  <c r="V30" i="22"/>
  <c r="T29" i="22"/>
  <c r="T23" i="22"/>
  <c r="T26" i="22"/>
  <c r="T9" i="22"/>
  <c r="T28" i="22"/>
  <c r="T5" i="22"/>
  <c r="T4" i="22"/>
  <c r="T3" i="22"/>
  <c r="U32" i="22"/>
  <c r="W6" i="22"/>
  <c r="V16" i="22"/>
  <c r="W26" i="22"/>
  <c r="W11" i="22"/>
  <c r="W30" i="22"/>
  <c r="V6" i="22"/>
  <c r="V26" i="22"/>
  <c r="R32" i="22"/>
  <c r="T7" i="22"/>
  <c r="T12" i="22"/>
  <c r="T17" i="22"/>
  <c r="T22" i="22"/>
  <c r="T27" i="22"/>
  <c r="S32" i="22"/>
  <c r="J9" i="24" l="1"/>
  <c r="I10" i="24"/>
  <c r="V32" i="22"/>
  <c r="W32" i="22"/>
  <c r="T32" i="22"/>
  <c r="J10" i="24" l="1"/>
  <c r="I11" i="24"/>
  <c r="J11" i="24" l="1"/>
  <c r="I12" i="24"/>
  <c r="V19" i="13"/>
  <c r="N79" i="7"/>
  <c r="N80" i="7" s="1"/>
  <c r="N81" i="7" s="1"/>
  <c r="N82" i="7" s="1"/>
  <c r="N83" i="7" s="1"/>
  <c r="N84" i="7" s="1"/>
  <c r="N85" i="7" s="1"/>
  <c r="N86" i="7" s="1"/>
  <c r="N87" i="7" s="1"/>
  <c r="N88" i="7" s="1"/>
  <c r="AL48" i="21"/>
  <c r="AM48" i="21"/>
  <c r="J12" i="24" l="1"/>
  <c r="I13" i="24"/>
  <c r="J13" i="24" l="1"/>
  <c r="I14" i="24"/>
  <c r="J14" i="24" l="1"/>
  <c r="I15" i="24"/>
  <c r="AB51" i="21"/>
  <c r="V51" i="21"/>
  <c r="M51" i="21"/>
  <c r="L51" i="21"/>
  <c r="E51" i="21"/>
  <c r="AO48" i="21"/>
  <c r="AK48" i="21"/>
  <c r="AI48" i="21"/>
  <c r="AH48" i="21"/>
  <c r="AJ48" i="21" s="1"/>
  <c r="AK47" i="21"/>
  <c r="AI47" i="21"/>
  <c r="AH47" i="21"/>
  <c r="AJ47" i="21" s="1"/>
  <c r="AK46" i="21"/>
  <c r="AI46" i="21"/>
  <c r="AH46" i="21"/>
  <c r="AK45" i="21"/>
  <c r="AI45" i="21"/>
  <c r="AH45" i="21"/>
  <c r="BG44" i="21"/>
  <c r="BE44" i="21"/>
  <c r="BC44" i="21"/>
  <c r="BA44" i="21"/>
  <c r="AY44" i="21"/>
  <c r="AW44" i="21"/>
  <c r="AU44" i="21"/>
  <c r="AS44" i="21"/>
  <c r="AQ44" i="21"/>
  <c r="AO44" i="21"/>
  <c r="AK44" i="21"/>
  <c r="AI44" i="21"/>
  <c r="AH44" i="21"/>
  <c r="AK43" i="21"/>
  <c r="AI43" i="21"/>
  <c r="AH43" i="21"/>
  <c r="AK42" i="21"/>
  <c r="AI42" i="21"/>
  <c r="AH42" i="21"/>
  <c r="AJ42" i="21" s="1"/>
  <c r="AK41" i="21"/>
  <c r="AI41" i="21"/>
  <c r="AH41" i="21"/>
  <c r="AK40" i="21"/>
  <c r="AI40" i="21"/>
  <c r="AH40" i="21"/>
  <c r="AK39" i="21"/>
  <c r="AI39" i="21"/>
  <c r="AH39" i="21"/>
  <c r="AJ39" i="21" s="1"/>
  <c r="BG38" i="21"/>
  <c r="BE38" i="21"/>
  <c r="BC38" i="21"/>
  <c r="BA38" i="21"/>
  <c r="AY38" i="21"/>
  <c r="AW38" i="21"/>
  <c r="AU38" i="21"/>
  <c r="AS38" i="21"/>
  <c r="AQ38" i="21"/>
  <c r="AO38" i="21"/>
  <c r="AK38" i="21"/>
  <c r="AI38" i="21"/>
  <c r="AH38" i="21"/>
  <c r="AK37" i="21"/>
  <c r="AI37" i="21"/>
  <c r="AH37" i="21"/>
  <c r="AK36" i="21"/>
  <c r="AI36" i="21"/>
  <c r="AH36" i="21"/>
  <c r="AK35" i="21"/>
  <c r="AI35" i="21"/>
  <c r="AH35" i="21"/>
  <c r="AK34" i="21"/>
  <c r="AI34" i="21"/>
  <c r="AH34" i="21"/>
  <c r="AK33" i="21"/>
  <c r="AI33" i="21"/>
  <c r="AH33" i="21"/>
  <c r="BG32" i="21"/>
  <c r="BE32" i="21"/>
  <c r="BC32" i="21"/>
  <c r="BA32" i="21"/>
  <c r="AY32" i="21"/>
  <c r="AW32" i="21"/>
  <c r="AU32" i="21"/>
  <c r="AS32" i="21"/>
  <c r="AQ32" i="21"/>
  <c r="AO32" i="21"/>
  <c r="AK32" i="21"/>
  <c r="AI32" i="21"/>
  <c r="AJ32" i="21" s="1"/>
  <c r="AH32" i="21"/>
  <c r="AK31" i="21"/>
  <c r="AI31" i="21"/>
  <c r="AH31" i="21"/>
  <c r="AK30" i="21"/>
  <c r="AI30" i="21"/>
  <c r="AH30" i="21"/>
  <c r="AJ30" i="21" s="1"/>
  <c r="AK29" i="21"/>
  <c r="AI29" i="21"/>
  <c r="AH29" i="21"/>
  <c r="AJ29" i="21" s="1"/>
  <c r="AK28" i="21"/>
  <c r="AI28" i="21"/>
  <c r="AH28" i="21"/>
  <c r="AK27" i="21"/>
  <c r="AI27" i="21"/>
  <c r="AH27" i="21"/>
  <c r="BG26" i="21"/>
  <c r="BE26" i="21"/>
  <c r="BC26" i="21"/>
  <c r="BA26" i="21"/>
  <c r="AY26" i="21"/>
  <c r="AW26" i="21"/>
  <c r="AU26" i="21"/>
  <c r="AS26" i="21"/>
  <c r="AQ26" i="21"/>
  <c r="AO26" i="21"/>
  <c r="AK26" i="21"/>
  <c r="AI26" i="21"/>
  <c r="AH26" i="21"/>
  <c r="AK25" i="21"/>
  <c r="AI25" i="21"/>
  <c r="AH25" i="21"/>
  <c r="AJ25" i="21" s="1"/>
  <c r="AK24" i="21"/>
  <c r="AI24" i="21"/>
  <c r="AH24" i="21"/>
  <c r="AJ24" i="21" s="1"/>
  <c r="AK23" i="21"/>
  <c r="AI23" i="21"/>
  <c r="AH23" i="21"/>
  <c r="AJ23" i="21" s="1"/>
  <c r="AK22" i="21"/>
  <c r="AI22" i="21"/>
  <c r="AH22" i="21"/>
  <c r="AK21" i="21"/>
  <c r="AI21" i="21"/>
  <c r="AH21" i="21"/>
  <c r="BG20" i="21"/>
  <c r="BE20" i="21"/>
  <c r="BC20" i="21"/>
  <c r="BA20" i="21"/>
  <c r="AY20" i="21"/>
  <c r="AW20" i="21"/>
  <c r="AU20" i="21"/>
  <c r="AS20" i="21"/>
  <c r="AQ20" i="21"/>
  <c r="AO20" i="21"/>
  <c r="AK20" i="21"/>
  <c r="AI20" i="21"/>
  <c r="AH20" i="21"/>
  <c r="AK19" i="21"/>
  <c r="AI19" i="21"/>
  <c r="AH19" i="21"/>
  <c r="AJ19" i="21" s="1"/>
  <c r="AK18" i="21"/>
  <c r="AI18" i="21"/>
  <c r="AH18" i="21"/>
  <c r="AJ18" i="21" s="1"/>
  <c r="AK17" i="21"/>
  <c r="AI17" i="21"/>
  <c r="AH17" i="21"/>
  <c r="AJ17" i="21" s="1"/>
  <c r="AK16" i="21"/>
  <c r="AI16" i="21"/>
  <c r="AH16" i="21"/>
  <c r="AK15" i="21"/>
  <c r="AI15" i="21"/>
  <c r="AH15" i="21"/>
  <c r="BG14" i="21"/>
  <c r="BE14" i="21"/>
  <c r="BC14" i="21"/>
  <c r="BA14" i="21"/>
  <c r="AY14" i="21"/>
  <c r="AW14" i="21"/>
  <c r="AU14" i="21"/>
  <c r="AS14" i="21"/>
  <c r="AQ14" i="21"/>
  <c r="AO14" i="21"/>
  <c r="AK14" i="21"/>
  <c r="AI14" i="21"/>
  <c r="AH14" i="21"/>
  <c r="AK13" i="21"/>
  <c r="AI13" i="21"/>
  <c r="AH13" i="21"/>
  <c r="AJ13" i="21" s="1"/>
  <c r="AK12" i="21"/>
  <c r="AH12" i="21"/>
  <c r="AJ12" i="21" s="1"/>
  <c r="AK11" i="21"/>
  <c r="AI11" i="21"/>
  <c r="AH11" i="21"/>
  <c r="AK10" i="21"/>
  <c r="AI10" i="21"/>
  <c r="AH10" i="21"/>
  <c r="AJ10" i="21" s="1"/>
  <c r="AK9" i="21"/>
  <c r="AI9" i="21"/>
  <c r="AH9" i="21"/>
  <c r="AJ9" i="21" s="1"/>
  <c r="BG8" i="21"/>
  <c r="BE8" i="21"/>
  <c r="BC8" i="21"/>
  <c r="BA8" i="21"/>
  <c r="AY8" i="21"/>
  <c r="AW8" i="21"/>
  <c r="AU8" i="21"/>
  <c r="AS8" i="21"/>
  <c r="AQ8" i="21"/>
  <c r="AO8" i="21"/>
  <c r="AK8" i="21"/>
  <c r="AI8" i="21"/>
  <c r="AH8" i="21"/>
  <c r="AK7" i="21"/>
  <c r="AI7" i="21"/>
  <c r="AH7" i="21"/>
  <c r="AJ7" i="21" s="1"/>
  <c r="AK6" i="21"/>
  <c r="AI6" i="21"/>
  <c r="AH6" i="21"/>
  <c r="AJ6" i="21" s="1"/>
  <c r="AK5" i="21"/>
  <c r="AI5" i="21"/>
  <c r="AH5" i="21"/>
  <c r="AJ5" i="21" s="1"/>
  <c r="AK4" i="21"/>
  <c r="AI4" i="21"/>
  <c r="AH4" i="21"/>
  <c r="AK3" i="21"/>
  <c r="AI3" i="21"/>
  <c r="AH3" i="21"/>
  <c r="AJ3" i="21" s="1"/>
  <c r="BG2" i="21"/>
  <c r="BE2" i="21"/>
  <c r="BC2" i="21"/>
  <c r="BA2" i="21"/>
  <c r="AY2" i="21"/>
  <c r="AW2" i="21"/>
  <c r="AU2" i="21"/>
  <c r="AS2" i="21"/>
  <c r="AQ2" i="21"/>
  <c r="AO2" i="21"/>
  <c r="AK2" i="21"/>
  <c r="AI2" i="21"/>
  <c r="AH2" i="21"/>
  <c r="AJ2" i="21" s="1"/>
  <c r="F51" i="21"/>
  <c r="J15" i="24" l="1"/>
  <c r="I16" i="24"/>
  <c r="AJ45" i="21"/>
  <c r="AJ44" i="21"/>
  <c r="AJ43" i="21"/>
  <c r="AM43" i="21"/>
  <c r="AL43" i="21"/>
  <c r="AJ38" i="21"/>
  <c r="AM37" i="21"/>
  <c r="AJ37" i="21"/>
  <c r="AI50" i="21"/>
  <c r="AJ36" i="21"/>
  <c r="AL37" i="21"/>
  <c r="AJ31" i="21"/>
  <c r="AM31" i="21"/>
  <c r="AL31" i="21"/>
  <c r="AJ26" i="21"/>
  <c r="AM25" i="21"/>
  <c r="AM19" i="21"/>
  <c r="AK50" i="21"/>
  <c r="AM7" i="21"/>
  <c r="AJ14" i="21"/>
  <c r="AL19" i="21"/>
  <c r="AJ20" i="21"/>
  <c r="AL25" i="21"/>
  <c r="AJ8" i="21"/>
  <c r="AL7" i="21"/>
  <c r="AJ35" i="21"/>
  <c r="AJ41" i="21"/>
  <c r="AJ4" i="21"/>
  <c r="AL13" i="21"/>
  <c r="AJ11" i="21"/>
  <c r="AM13" i="21"/>
  <c r="AJ16" i="21"/>
  <c r="AJ22" i="21"/>
  <c r="AJ28" i="21"/>
  <c r="AJ34" i="21"/>
  <c r="AJ40" i="21"/>
  <c r="AJ46" i="21"/>
  <c r="AH50" i="21"/>
  <c r="AJ15" i="21"/>
  <c r="AJ21" i="21"/>
  <c r="AJ27" i="21"/>
  <c r="AJ33" i="21"/>
  <c r="J16" i="24" l="1"/>
  <c r="I17" i="24"/>
  <c r="AJ50" i="21"/>
  <c r="AL50" i="21"/>
  <c r="AM50" i="21"/>
  <c r="J17" i="24" l="1"/>
  <c r="I18" i="24"/>
  <c r="J18" i="24" l="1"/>
  <c r="I32" i="24"/>
  <c r="J32" i="24" l="1"/>
  <c r="I33" i="24"/>
  <c r="F14" i="20"/>
  <c r="AB99" i="20"/>
  <c r="V99" i="20"/>
  <c r="M99" i="20"/>
  <c r="L99" i="20"/>
  <c r="F99" i="20"/>
  <c r="E99" i="20"/>
  <c r="AO96" i="20"/>
  <c r="AK96" i="20"/>
  <c r="AI96" i="20"/>
  <c r="AH96" i="20"/>
  <c r="AJ96" i="20" s="1"/>
  <c r="AK95" i="20"/>
  <c r="AI95" i="20"/>
  <c r="AH95" i="20"/>
  <c r="AJ95" i="20" s="1"/>
  <c r="AK94" i="20"/>
  <c r="AI94" i="20"/>
  <c r="AH94" i="20"/>
  <c r="AJ94" i="20" s="1"/>
  <c r="AK93" i="20"/>
  <c r="AI93" i="20"/>
  <c r="AH93" i="20"/>
  <c r="AJ93" i="20" s="1"/>
  <c r="BG92" i="20"/>
  <c r="BE92" i="20"/>
  <c r="BC92" i="20"/>
  <c r="BA92" i="20"/>
  <c r="AY92" i="20"/>
  <c r="AW92" i="20"/>
  <c r="AU92" i="20"/>
  <c r="AS92" i="20"/>
  <c r="AQ92" i="20"/>
  <c r="AO92" i="20"/>
  <c r="AK92" i="20"/>
  <c r="AI92" i="20"/>
  <c r="AJ92" i="20" s="1"/>
  <c r="AH92" i="20"/>
  <c r="AK91" i="20"/>
  <c r="AI91" i="20"/>
  <c r="AH91" i="20"/>
  <c r="AJ91" i="20" s="1"/>
  <c r="AK90" i="20"/>
  <c r="AI90" i="20"/>
  <c r="AH90" i="20"/>
  <c r="AJ90" i="20" s="1"/>
  <c r="AK89" i="20"/>
  <c r="AI89" i="20"/>
  <c r="AH89" i="20"/>
  <c r="AJ89" i="20" s="1"/>
  <c r="AK88" i="20"/>
  <c r="AI88" i="20"/>
  <c r="AH88" i="20"/>
  <c r="AJ88" i="20" s="1"/>
  <c r="AK87" i="20"/>
  <c r="AI87" i="20"/>
  <c r="AH87" i="20"/>
  <c r="AJ87" i="20" s="1"/>
  <c r="BG86" i="20"/>
  <c r="BE86" i="20"/>
  <c r="BC86" i="20"/>
  <c r="BA86" i="20"/>
  <c r="AY86" i="20"/>
  <c r="AW86" i="20"/>
  <c r="AU86" i="20"/>
  <c r="AS86" i="20"/>
  <c r="AQ86" i="20"/>
  <c r="AO86" i="20"/>
  <c r="AK86" i="20"/>
  <c r="AM91" i="20" s="1"/>
  <c r="AI86" i="20"/>
  <c r="AJ86" i="20" s="1"/>
  <c r="AH86" i="20"/>
  <c r="AL91" i="20" s="1"/>
  <c r="AK85" i="20"/>
  <c r="AI85" i="20"/>
  <c r="AH85" i="20"/>
  <c r="AJ85" i="20" s="1"/>
  <c r="AK84" i="20"/>
  <c r="AI84" i="20"/>
  <c r="AH84" i="20"/>
  <c r="AJ84" i="20" s="1"/>
  <c r="AK83" i="20"/>
  <c r="AI83" i="20"/>
  <c r="AH83" i="20"/>
  <c r="AJ83" i="20" s="1"/>
  <c r="AK82" i="20"/>
  <c r="AI82" i="20"/>
  <c r="AH82" i="20"/>
  <c r="AJ82" i="20" s="1"/>
  <c r="AK81" i="20"/>
  <c r="AI81" i="20"/>
  <c r="AH81" i="20"/>
  <c r="AL85" i="20" s="1"/>
  <c r="BG80" i="20"/>
  <c r="BE80" i="20"/>
  <c r="BC80" i="20"/>
  <c r="BA80" i="20"/>
  <c r="AY80" i="20"/>
  <c r="AW80" i="20"/>
  <c r="AU80" i="20"/>
  <c r="AS80" i="20"/>
  <c r="AQ80" i="20"/>
  <c r="AO80" i="20"/>
  <c r="AK80" i="20"/>
  <c r="AM85" i="20" s="1"/>
  <c r="AI80" i="20"/>
  <c r="AJ80" i="20" s="1"/>
  <c r="AH80" i="20"/>
  <c r="AK79" i="20"/>
  <c r="AI79" i="20"/>
  <c r="AH79" i="20"/>
  <c r="AJ79" i="20" s="1"/>
  <c r="AK78" i="20"/>
  <c r="AI78" i="20"/>
  <c r="AH78" i="20"/>
  <c r="AJ78" i="20" s="1"/>
  <c r="AK77" i="20"/>
  <c r="AI77" i="20"/>
  <c r="AH77" i="20"/>
  <c r="AJ77" i="20" s="1"/>
  <c r="AK76" i="20"/>
  <c r="AI76" i="20"/>
  <c r="AH76" i="20"/>
  <c r="AJ76" i="20" s="1"/>
  <c r="AK75" i="20"/>
  <c r="AI75" i="20"/>
  <c r="AH75" i="20"/>
  <c r="AL79" i="20" s="1"/>
  <c r="BG74" i="20"/>
  <c r="BE74" i="20"/>
  <c r="BC74" i="20"/>
  <c r="BA74" i="20"/>
  <c r="AY74" i="20"/>
  <c r="AW74" i="20"/>
  <c r="AU74" i="20"/>
  <c r="AS74" i="20"/>
  <c r="AQ74" i="20"/>
  <c r="AO74" i="20"/>
  <c r="AK74" i="20"/>
  <c r="AM79" i="20" s="1"/>
  <c r="AI74" i="20"/>
  <c r="AJ74" i="20" s="1"/>
  <c r="AH74" i="20"/>
  <c r="AK73" i="20"/>
  <c r="AI73" i="20"/>
  <c r="AH73" i="20"/>
  <c r="AJ73" i="20" s="1"/>
  <c r="AK72" i="20"/>
  <c r="AI72" i="20"/>
  <c r="AH72" i="20"/>
  <c r="AJ72" i="20" s="1"/>
  <c r="AK71" i="20"/>
  <c r="AI71" i="20"/>
  <c r="AH71" i="20"/>
  <c r="AJ71" i="20" s="1"/>
  <c r="AK70" i="20"/>
  <c r="AI70" i="20"/>
  <c r="AH70" i="20"/>
  <c r="AK69" i="20"/>
  <c r="AI69" i="20"/>
  <c r="AH69" i="20"/>
  <c r="BG68" i="20"/>
  <c r="BE68" i="20"/>
  <c r="BC68" i="20"/>
  <c r="BA68" i="20"/>
  <c r="AY68" i="20"/>
  <c r="AW68" i="20"/>
  <c r="AU68" i="20"/>
  <c r="AS68" i="20"/>
  <c r="AQ68" i="20"/>
  <c r="AO68" i="20"/>
  <c r="AK68" i="20"/>
  <c r="AM73" i="20" s="1"/>
  <c r="AI68" i="20"/>
  <c r="AJ68" i="20" s="1"/>
  <c r="AH68" i="20"/>
  <c r="AK67" i="20"/>
  <c r="AI67" i="20"/>
  <c r="AH67" i="20"/>
  <c r="AJ67" i="20" s="1"/>
  <c r="AK66" i="20"/>
  <c r="AI66" i="20"/>
  <c r="AH66" i="20"/>
  <c r="AJ66" i="20" s="1"/>
  <c r="AK65" i="20"/>
  <c r="AI65" i="20"/>
  <c r="AH65" i="20"/>
  <c r="AJ65" i="20" s="1"/>
  <c r="AK64" i="20"/>
  <c r="AI64" i="20"/>
  <c r="AH64" i="20"/>
  <c r="AK63" i="20"/>
  <c r="AI63" i="20"/>
  <c r="AH63" i="20"/>
  <c r="BG62" i="20"/>
  <c r="BE62" i="20"/>
  <c r="BC62" i="20"/>
  <c r="BA62" i="20"/>
  <c r="AY62" i="20"/>
  <c r="AW62" i="20"/>
  <c r="AU62" i="20"/>
  <c r="AS62" i="20"/>
  <c r="AQ62" i="20"/>
  <c r="AO62" i="20"/>
  <c r="AK62" i="20"/>
  <c r="AI62" i="20"/>
  <c r="AH62" i="20"/>
  <c r="AK61" i="20"/>
  <c r="AI61" i="20"/>
  <c r="AH61" i="20"/>
  <c r="AJ61" i="20" s="1"/>
  <c r="AK60" i="20"/>
  <c r="AH60" i="20"/>
  <c r="AK59" i="20"/>
  <c r="AI59" i="20"/>
  <c r="AH59" i="20"/>
  <c r="AJ59" i="20" s="1"/>
  <c r="AK58" i="20"/>
  <c r="AI58" i="20"/>
  <c r="AH58" i="20"/>
  <c r="AK57" i="20"/>
  <c r="AI57" i="20"/>
  <c r="AH57" i="20"/>
  <c r="BG56" i="20"/>
  <c r="BE56" i="20"/>
  <c r="BC56" i="20"/>
  <c r="BA56" i="20"/>
  <c r="AY56" i="20"/>
  <c r="AW56" i="20"/>
  <c r="AU56" i="20"/>
  <c r="AS56" i="20"/>
  <c r="AQ56" i="20"/>
  <c r="AO56" i="20"/>
  <c r="AK56" i="20"/>
  <c r="AI56" i="20"/>
  <c r="AH56" i="20"/>
  <c r="AK55" i="20"/>
  <c r="AI55" i="20"/>
  <c r="AH55" i="20"/>
  <c r="AJ55" i="20" s="1"/>
  <c r="AK54" i="20"/>
  <c r="AI54" i="20"/>
  <c r="AH54" i="20"/>
  <c r="AJ54" i="20" s="1"/>
  <c r="AK53" i="20"/>
  <c r="AI53" i="20"/>
  <c r="AH53" i="20"/>
  <c r="AJ53" i="20" s="1"/>
  <c r="AK52" i="20"/>
  <c r="AI52" i="20"/>
  <c r="AH52" i="20"/>
  <c r="AK51" i="20"/>
  <c r="AI51" i="20"/>
  <c r="AH51" i="20"/>
  <c r="BG50" i="20"/>
  <c r="BE50" i="20"/>
  <c r="BC50" i="20"/>
  <c r="BA50" i="20"/>
  <c r="AY50" i="20"/>
  <c r="AW50" i="20"/>
  <c r="AU50" i="20"/>
  <c r="AS50" i="20"/>
  <c r="AQ50" i="20"/>
  <c r="AO50" i="20"/>
  <c r="AK50" i="20"/>
  <c r="AI50" i="20"/>
  <c r="AH50" i="20"/>
  <c r="AK49" i="20"/>
  <c r="AI49" i="20"/>
  <c r="AH49" i="20"/>
  <c r="AJ49" i="20" s="1"/>
  <c r="AK48" i="20"/>
  <c r="AI48" i="20"/>
  <c r="AH48" i="20"/>
  <c r="AJ48" i="20" s="1"/>
  <c r="AK47" i="20"/>
  <c r="AI47" i="20"/>
  <c r="AH47" i="20"/>
  <c r="AJ47" i="20" s="1"/>
  <c r="AK46" i="20"/>
  <c r="AI46" i="20"/>
  <c r="AH46" i="20"/>
  <c r="AK45" i="20"/>
  <c r="AI45" i="20"/>
  <c r="AH45" i="20"/>
  <c r="BG44" i="20"/>
  <c r="BE44" i="20"/>
  <c r="BC44" i="20"/>
  <c r="BA44" i="20"/>
  <c r="AY44" i="20"/>
  <c r="AW44" i="20"/>
  <c r="AU44" i="20"/>
  <c r="AS44" i="20"/>
  <c r="AQ44" i="20"/>
  <c r="AO44" i="20"/>
  <c r="AK44" i="20"/>
  <c r="AI44" i="20"/>
  <c r="AH44" i="20"/>
  <c r="AK43" i="20"/>
  <c r="AI43" i="20"/>
  <c r="AH43" i="20"/>
  <c r="AJ43" i="20" s="1"/>
  <c r="AK42" i="20"/>
  <c r="AI42" i="20"/>
  <c r="AH42" i="20"/>
  <c r="AJ42" i="20" s="1"/>
  <c r="AK41" i="20"/>
  <c r="AI41" i="20"/>
  <c r="AH41" i="20"/>
  <c r="AJ41" i="20" s="1"/>
  <c r="AK40" i="20"/>
  <c r="AI40" i="20"/>
  <c r="AH40" i="20"/>
  <c r="AK39" i="20"/>
  <c r="AI39" i="20"/>
  <c r="AH39" i="20"/>
  <c r="BG38" i="20"/>
  <c r="BE38" i="20"/>
  <c r="BC38" i="20"/>
  <c r="BA38" i="20"/>
  <c r="AY38" i="20"/>
  <c r="AW38" i="20"/>
  <c r="AU38" i="20"/>
  <c r="AS38" i="20"/>
  <c r="AQ38" i="20"/>
  <c r="AO38" i="20"/>
  <c r="AK38" i="20"/>
  <c r="AI38" i="20"/>
  <c r="AH38" i="20"/>
  <c r="AK37" i="20"/>
  <c r="AI37" i="20"/>
  <c r="AH37" i="20"/>
  <c r="AJ37" i="20" s="1"/>
  <c r="AK36" i="20"/>
  <c r="AI36" i="20"/>
  <c r="AH36" i="20"/>
  <c r="AJ36" i="20" s="1"/>
  <c r="AK35" i="20"/>
  <c r="AI35" i="20"/>
  <c r="AH35" i="20"/>
  <c r="AJ35" i="20" s="1"/>
  <c r="AK34" i="20"/>
  <c r="AI34" i="20"/>
  <c r="AH34" i="20"/>
  <c r="AK33" i="20"/>
  <c r="AI33" i="20"/>
  <c r="AH33" i="20"/>
  <c r="BG32" i="20"/>
  <c r="BE32" i="20"/>
  <c r="BC32" i="20"/>
  <c r="BA32" i="20"/>
  <c r="AY32" i="20"/>
  <c r="AW32" i="20"/>
  <c r="AU32" i="20"/>
  <c r="AS32" i="20"/>
  <c r="AQ32" i="20"/>
  <c r="AO32" i="20"/>
  <c r="AK32" i="20"/>
  <c r="AI32" i="20"/>
  <c r="AH32" i="20"/>
  <c r="AJ32" i="20" s="1"/>
  <c r="AK31" i="20"/>
  <c r="AI31" i="20"/>
  <c r="AH31" i="20"/>
  <c r="AK30" i="20"/>
  <c r="AI30" i="20"/>
  <c r="AH30" i="20"/>
  <c r="AK29" i="20"/>
  <c r="AI29" i="20"/>
  <c r="AH29" i="20"/>
  <c r="AK28" i="20"/>
  <c r="AI28" i="20"/>
  <c r="AH28" i="20"/>
  <c r="AJ28" i="20" s="1"/>
  <c r="AK27" i="20"/>
  <c r="AI27" i="20"/>
  <c r="AH27" i="20"/>
  <c r="BG26" i="20"/>
  <c r="BE26" i="20"/>
  <c r="BC26" i="20"/>
  <c r="BA26" i="20"/>
  <c r="AY26" i="20"/>
  <c r="AW26" i="20"/>
  <c r="AU26" i="20"/>
  <c r="AS26" i="20"/>
  <c r="AQ26" i="20"/>
  <c r="AO26" i="20"/>
  <c r="AK26" i="20"/>
  <c r="AI26" i="20"/>
  <c r="AH26" i="20"/>
  <c r="AK25" i="20"/>
  <c r="AI25" i="20"/>
  <c r="AH25" i="20"/>
  <c r="AK24" i="20"/>
  <c r="AI24" i="20"/>
  <c r="AH24" i="20"/>
  <c r="AK23" i="20"/>
  <c r="AI23" i="20"/>
  <c r="AH23" i="20"/>
  <c r="AJ23" i="20" s="1"/>
  <c r="AK22" i="20"/>
  <c r="AI22" i="20"/>
  <c r="AH22" i="20"/>
  <c r="AK21" i="20"/>
  <c r="AI21" i="20"/>
  <c r="AH21" i="20"/>
  <c r="BG20" i="20"/>
  <c r="BE20" i="20"/>
  <c r="BC20" i="20"/>
  <c r="BA20" i="20"/>
  <c r="AY20" i="20"/>
  <c r="AW20" i="20"/>
  <c r="AU20" i="20"/>
  <c r="AS20" i="20"/>
  <c r="AQ20" i="20"/>
  <c r="AO20" i="20"/>
  <c r="AK20" i="20"/>
  <c r="AI20" i="20"/>
  <c r="AH20" i="20"/>
  <c r="AK19" i="20"/>
  <c r="AI19" i="20"/>
  <c r="AH19" i="20"/>
  <c r="AK18" i="20"/>
  <c r="AI18" i="20"/>
  <c r="AH18" i="20"/>
  <c r="AK17" i="20"/>
  <c r="AI17" i="20"/>
  <c r="AH17" i="20"/>
  <c r="AJ17" i="20" s="1"/>
  <c r="AK16" i="20"/>
  <c r="AI16" i="20"/>
  <c r="AH16" i="20"/>
  <c r="AK15" i="20"/>
  <c r="AI15" i="20"/>
  <c r="AH15" i="20"/>
  <c r="BG14" i="20"/>
  <c r="BE14" i="20"/>
  <c r="BC14" i="20"/>
  <c r="BA14" i="20"/>
  <c r="AY14" i="20"/>
  <c r="AW14" i="20"/>
  <c r="AU14" i="20"/>
  <c r="AS14" i="20"/>
  <c r="AQ14" i="20"/>
  <c r="AO14" i="20"/>
  <c r="AK14" i="20"/>
  <c r="AI14" i="20"/>
  <c r="AH14" i="20"/>
  <c r="AJ14" i="20" s="1"/>
  <c r="AK13" i="20"/>
  <c r="AI13" i="20"/>
  <c r="AH13" i="20"/>
  <c r="AK12" i="20"/>
  <c r="AI12" i="20"/>
  <c r="AH12" i="20"/>
  <c r="AK11" i="20"/>
  <c r="AI11" i="20"/>
  <c r="AH11" i="20"/>
  <c r="AK10" i="20"/>
  <c r="AI10" i="20"/>
  <c r="AH10" i="20"/>
  <c r="AK9" i="20"/>
  <c r="AI9" i="20"/>
  <c r="AH9" i="20"/>
  <c r="BG8" i="20"/>
  <c r="BE8" i="20"/>
  <c r="BC8" i="20"/>
  <c r="BA8" i="20"/>
  <c r="AY8" i="20"/>
  <c r="AW8" i="20"/>
  <c r="AU8" i="20"/>
  <c r="AS8" i="20"/>
  <c r="AQ8" i="20"/>
  <c r="AO8" i="20"/>
  <c r="AK8" i="20"/>
  <c r="AI8" i="20"/>
  <c r="AH8" i="20"/>
  <c r="AJ8" i="20" s="1"/>
  <c r="AK7" i="20"/>
  <c r="AI7" i="20"/>
  <c r="AH7" i="20"/>
  <c r="AK6" i="20"/>
  <c r="AI6" i="20"/>
  <c r="AH6" i="20"/>
  <c r="AK5" i="20"/>
  <c r="AI5" i="20"/>
  <c r="AH5" i="20"/>
  <c r="AK4" i="20"/>
  <c r="AI4" i="20"/>
  <c r="AH4" i="20"/>
  <c r="AJ4" i="20" s="1"/>
  <c r="AK3" i="20"/>
  <c r="AI3" i="20"/>
  <c r="AH3" i="20"/>
  <c r="AK2" i="20"/>
  <c r="AI2" i="20"/>
  <c r="AH2" i="20"/>
  <c r="J33" i="24" l="1"/>
  <c r="I34" i="24"/>
  <c r="AJ62" i="20"/>
  <c r="AM67" i="20"/>
  <c r="AM61" i="20"/>
  <c r="AJ60" i="20"/>
  <c r="AJ56" i="20"/>
  <c r="AL61" i="20"/>
  <c r="AM55" i="20"/>
  <c r="AJ50" i="20"/>
  <c r="AL55" i="20"/>
  <c r="AM49" i="20"/>
  <c r="AL49" i="20"/>
  <c r="AJ44" i="20"/>
  <c r="AM43" i="20"/>
  <c r="AL43" i="20"/>
  <c r="AJ38" i="20"/>
  <c r="AJ26" i="20"/>
  <c r="AJ20" i="20"/>
  <c r="AJ18" i="20"/>
  <c r="AK98" i="20"/>
  <c r="AJ12" i="20"/>
  <c r="AJ27" i="20"/>
  <c r="AJ31" i="20"/>
  <c r="AJ34" i="20"/>
  <c r="AJ40" i="20"/>
  <c r="AJ46" i="20"/>
  <c r="AJ52" i="20"/>
  <c r="AJ58" i="20"/>
  <c r="AJ64" i="20"/>
  <c r="AJ70" i="20"/>
  <c r="AL73" i="20"/>
  <c r="AJ3" i="20"/>
  <c r="AJ7" i="20"/>
  <c r="AJ9" i="20"/>
  <c r="AJ13" i="20"/>
  <c r="AJ22" i="20"/>
  <c r="AM37" i="20"/>
  <c r="AM25" i="20"/>
  <c r="AM13" i="20"/>
  <c r="AL19" i="20"/>
  <c r="AL67" i="20"/>
  <c r="AM7" i="20"/>
  <c r="AL25" i="20"/>
  <c r="AJ2" i="20"/>
  <c r="AH98" i="20"/>
  <c r="AJ6" i="20"/>
  <c r="AJ11" i="20"/>
  <c r="AJ16" i="20"/>
  <c r="AJ21" i="20"/>
  <c r="AJ25" i="20"/>
  <c r="AM31" i="20"/>
  <c r="AJ30" i="20"/>
  <c r="AL7" i="20"/>
  <c r="AI98" i="20"/>
  <c r="AJ5" i="20"/>
  <c r="AJ10" i="20"/>
  <c r="AL13" i="20"/>
  <c r="AJ15" i="20"/>
  <c r="AJ19" i="20"/>
  <c r="AM19" i="20"/>
  <c r="AJ24" i="20"/>
  <c r="AJ29" i="20"/>
  <c r="AL37" i="20"/>
  <c r="AJ33" i="20"/>
  <c r="AL31" i="20"/>
  <c r="AJ39" i="20"/>
  <c r="AJ45" i="20"/>
  <c r="AJ51" i="20"/>
  <c r="AJ57" i="20"/>
  <c r="AJ63" i="20"/>
  <c r="AJ69" i="20"/>
  <c r="AJ75" i="20"/>
  <c r="AJ81" i="20"/>
  <c r="H130" i="8"/>
  <c r="J34" i="24" l="1"/>
  <c r="I35" i="24"/>
  <c r="AL98" i="20"/>
  <c r="AJ98" i="20"/>
  <c r="AM98" i="20"/>
  <c r="I105" i="8"/>
  <c r="G105" i="8"/>
  <c r="I72" i="8"/>
  <c r="G72" i="8"/>
  <c r="I42" i="8"/>
  <c r="G42" i="8"/>
  <c r="I22" i="8"/>
  <c r="G22" i="8"/>
  <c r="I12" i="8"/>
  <c r="G12" i="8"/>
  <c r="J35" i="24" l="1"/>
  <c r="I36" i="24"/>
  <c r="V18" i="13"/>
  <c r="J36" i="24" l="1"/>
  <c r="I37" i="24"/>
  <c r="J37" i="24" l="1"/>
  <c r="I38" i="24"/>
  <c r="K7" i="19"/>
  <c r="L7" i="19" s="1"/>
  <c r="D42" i="19"/>
  <c r="G42" i="19"/>
  <c r="F42" i="19"/>
  <c r="E42" i="19"/>
  <c r="M74" i="7"/>
  <c r="J38" i="24" l="1"/>
  <c r="I39" i="24"/>
  <c r="K8" i="19"/>
  <c r="L8" i="19" s="1"/>
  <c r="J39" i="24" l="1"/>
  <c r="I40" i="24"/>
  <c r="K9" i="19"/>
  <c r="K10" i="19" s="1"/>
  <c r="K11" i="19" s="1"/>
  <c r="K12" i="19" s="1"/>
  <c r="J40" i="24" l="1"/>
  <c r="I41" i="24"/>
  <c r="L11" i="19"/>
  <c r="L10" i="19"/>
  <c r="L9" i="19"/>
  <c r="L12" i="19"/>
  <c r="K13" i="19"/>
  <c r="J41" i="24" l="1"/>
  <c r="I42" i="24"/>
  <c r="L13" i="19"/>
  <c r="K14" i="19"/>
  <c r="J42" i="24" l="1"/>
  <c r="I43" i="24"/>
  <c r="K15" i="19"/>
  <c r="L14" i="19"/>
  <c r="J43" i="24" l="1"/>
  <c r="I44" i="24"/>
  <c r="L15" i="19"/>
  <c r="K16" i="19"/>
  <c r="F115" i="8"/>
  <c r="J44" i="24" l="1"/>
  <c r="I45" i="24"/>
  <c r="J45" i="24" s="1"/>
  <c r="L16" i="19"/>
  <c r="K17" i="19"/>
  <c r="V17" i="13"/>
  <c r="K18" i="19" l="1"/>
  <c r="L17" i="19"/>
  <c r="K19" i="19" l="1"/>
  <c r="L18" i="19"/>
  <c r="V15" i="13"/>
  <c r="K20" i="19" l="1"/>
  <c r="L19" i="19"/>
  <c r="L20" i="19" l="1"/>
  <c r="K21" i="19"/>
  <c r="K22" i="19" l="1"/>
  <c r="L21" i="19"/>
  <c r="V16" i="13"/>
  <c r="V14" i="13"/>
  <c r="K23" i="19" l="1"/>
  <c r="L22" i="19"/>
  <c r="K24" i="19" l="1"/>
  <c r="L23" i="19"/>
  <c r="AB99" i="18"/>
  <c r="V99" i="18"/>
  <c r="M99" i="18"/>
  <c r="L99" i="18"/>
  <c r="F99" i="18"/>
  <c r="E99" i="18"/>
  <c r="AO96" i="18"/>
  <c r="AK96" i="18"/>
  <c r="AI96" i="18"/>
  <c r="AH96" i="18"/>
  <c r="AJ96" i="18" s="1"/>
  <c r="AK95" i="18"/>
  <c r="AI95" i="18"/>
  <c r="AH95" i="18"/>
  <c r="AJ95" i="18" s="1"/>
  <c r="AK94" i="18"/>
  <c r="AI94" i="18"/>
  <c r="AH94" i="18"/>
  <c r="AK93" i="18"/>
  <c r="AI93" i="18"/>
  <c r="AH93" i="18"/>
  <c r="AJ93" i="18" s="1"/>
  <c r="BG92" i="18"/>
  <c r="BE92" i="18"/>
  <c r="BC92" i="18"/>
  <c r="BA92" i="18"/>
  <c r="AY92" i="18"/>
  <c r="AW92" i="18"/>
  <c r="AU92" i="18"/>
  <c r="AS92" i="18"/>
  <c r="AQ92" i="18"/>
  <c r="AO92" i="18"/>
  <c r="AK92" i="18"/>
  <c r="AI92" i="18"/>
  <c r="AJ92" i="18" s="1"/>
  <c r="AH92" i="18"/>
  <c r="AK91" i="18"/>
  <c r="AI91" i="18"/>
  <c r="AH91" i="18"/>
  <c r="AJ91" i="18" s="1"/>
  <c r="AK90" i="18"/>
  <c r="AI90" i="18"/>
  <c r="AH90" i="18"/>
  <c r="AK89" i="18"/>
  <c r="AI89" i="18"/>
  <c r="AH89" i="18"/>
  <c r="AJ89" i="18" s="1"/>
  <c r="AK88" i="18"/>
  <c r="AI88" i="18"/>
  <c r="AH88" i="18"/>
  <c r="AK87" i="18"/>
  <c r="AI87" i="18"/>
  <c r="AH87" i="18"/>
  <c r="AJ87" i="18" s="1"/>
  <c r="BG86" i="18"/>
  <c r="BE86" i="18"/>
  <c r="BC86" i="18"/>
  <c r="BA86" i="18"/>
  <c r="AY86" i="18"/>
  <c r="AW86" i="18"/>
  <c r="AU86" i="18"/>
  <c r="AS86" i="18"/>
  <c r="AQ86" i="18"/>
  <c r="AO86" i="18"/>
  <c r="AK86" i="18"/>
  <c r="AI86" i="18"/>
  <c r="AJ86" i="18" s="1"/>
  <c r="AH86" i="18"/>
  <c r="AK85" i="18"/>
  <c r="AI85" i="18"/>
  <c r="AH85" i="18"/>
  <c r="AK84" i="18"/>
  <c r="AI84" i="18"/>
  <c r="AH84" i="18"/>
  <c r="AJ84" i="18" s="1"/>
  <c r="AK83" i="18"/>
  <c r="AI83" i="18"/>
  <c r="AH83" i="18"/>
  <c r="AK82" i="18"/>
  <c r="AI82" i="18"/>
  <c r="AH82" i="18"/>
  <c r="AK81" i="18"/>
  <c r="AI81" i="18"/>
  <c r="AH81" i="18"/>
  <c r="AL85" i="18" s="1"/>
  <c r="BG80" i="18"/>
  <c r="BE80" i="18"/>
  <c r="BC80" i="18"/>
  <c r="BA80" i="18"/>
  <c r="AY80" i="18"/>
  <c r="AW80" i="18"/>
  <c r="AU80" i="18"/>
  <c r="AS80" i="18"/>
  <c r="AQ80" i="18"/>
  <c r="AO80" i="18"/>
  <c r="AK80" i="18"/>
  <c r="AI80" i="18"/>
  <c r="AJ80" i="18" s="1"/>
  <c r="AH80" i="18"/>
  <c r="AK79" i="18"/>
  <c r="AI79" i="18"/>
  <c r="AH79" i="18"/>
  <c r="AJ79" i="18" s="1"/>
  <c r="AK78" i="18"/>
  <c r="AI78" i="18"/>
  <c r="AH78" i="18"/>
  <c r="AK77" i="18"/>
  <c r="AI77" i="18"/>
  <c r="AH77" i="18"/>
  <c r="AJ77" i="18" s="1"/>
  <c r="AK76" i="18"/>
  <c r="AI76" i="18"/>
  <c r="AH76" i="18"/>
  <c r="AK75" i="18"/>
  <c r="AI75" i="18"/>
  <c r="AH75" i="18"/>
  <c r="AL79" i="18" s="1"/>
  <c r="BG74" i="18"/>
  <c r="BE74" i="18"/>
  <c r="BC74" i="18"/>
  <c r="BA74" i="18"/>
  <c r="AY74" i="18"/>
  <c r="AW74" i="18"/>
  <c r="AU74" i="18"/>
  <c r="AS74" i="18"/>
  <c r="AQ74" i="18"/>
  <c r="AO74" i="18"/>
  <c r="AK74" i="18"/>
  <c r="AI74" i="18"/>
  <c r="AJ74" i="18" s="1"/>
  <c r="AH74" i="18"/>
  <c r="AK73" i="18"/>
  <c r="AI73" i="18"/>
  <c r="AH73" i="18"/>
  <c r="AK72" i="18"/>
  <c r="AI72" i="18"/>
  <c r="AH72" i="18"/>
  <c r="AJ72" i="18" s="1"/>
  <c r="AK71" i="18"/>
  <c r="AI71" i="18"/>
  <c r="AH71" i="18"/>
  <c r="AK70" i="18"/>
  <c r="AI70" i="18"/>
  <c r="AH70" i="18"/>
  <c r="AK69" i="18"/>
  <c r="AI69" i="18"/>
  <c r="AH69" i="18"/>
  <c r="AL73" i="18" s="1"/>
  <c r="BG68" i="18"/>
  <c r="BE68" i="18"/>
  <c r="BC68" i="18"/>
  <c r="BA68" i="18"/>
  <c r="AY68" i="18"/>
  <c r="AW68" i="18"/>
  <c r="AU68" i="18"/>
  <c r="AS68" i="18"/>
  <c r="AQ68" i="18"/>
  <c r="AO68" i="18"/>
  <c r="AK68" i="18"/>
  <c r="AI68" i="18"/>
  <c r="AJ68" i="18" s="1"/>
  <c r="AH68" i="18"/>
  <c r="AK67" i="18"/>
  <c r="AI67" i="18"/>
  <c r="AH67" i="18"/>
  <c r="AJ67" i="18" s="1"/>
  <c r="AK66" i="18"/>
  <c r="AI66" i="18"/>
  <c r="AH66" i="18"/>
  <c r="AK65" i="18"/>
  <c r="AI65" i="18"/>
  <c r="AH65" i="18"/>
  <c r="AJ65" i="18" s="1"/>
  <c r="AK64" i="18"/>
  <c r="AI64" i="18"/>
  <c r="AH64" i="18"/>
  <c r="AK63" i="18"/>
  <c r="AI63" i="18"/>
  <c r="AH63" i="18"/>
  <c r="AL67" i="18" s="1"/>
  <c r="BG62" i="18"/>
  <c r="BE62" i="18"/>
  <c r="BC62" i="18"/>
  <c r="BA62" i="18"/>
  <c r="AY62" i="18"/>
  <c r="AW62" i="18"/>
  <c r="AU62" i="18"/>
  <c r="AS62" i="18"/>
  <c r="AQ62" i="18"/>
  <c r="AO62" i="18"/>
  <c r="AK62" i="18"/>
  <c r="AI62" i="18"/>
  <c r="AJ62" i="18" s="1"/>
  <c r="AH62" i="18"/>
  <c r="AK61" i="18"/>
  <c r="AI61" i="18"/>
  <c r="AH61" i="18"/>
  <c r="AK60" i="18"/>
  <c r="AI60" i="18"/>
  <c r="AH60" i="18"/>
  <c r="AJ60" i="18" s="1"/>
  <c r="AK59" i="18"/>
  <c r="AI59" i="18"/>
  <c r="AH59" i="18"/>
  <c r="AK58" i="18"/>
  <c r="AI58" i="18"/>
  <c r="AH58" i="18"/>
  <c r="AK57" i="18"/>
  <c r="AI57" i="18"/>
  <c r="AH57" i="18"/>
  <c r="AL61" i="18" s="1"/>
  <c r="BG56" i="18"/>
  <c r="BE56" i="18"/>
  <c r="BC56" i="18"/>
  <c r="BA56" i="18"/>
  <c r="AY56" i="18"/>
  <c r="AW56" i="18"/>
  <c r="AU56" i="18"/>
  <c r="AS56" i="18"/>
  <c r="AQ56" i="18"/>
  <c r="AO56" i="18"/>
  <c r="AK56" i="18"/>
  <c r="AI56" i="18"/>
  <c r="AJ56" i="18" s="1"/>
  <c r="AH56" i="18"/>
  <c r="AK55" i="18"/>
  <c r="AI55" i="18"/>
  <c r="AH55" i="18"/>
  <c r="AJ55" i="18" s="1"/>
  <c r="AK54" i="18"/>
  <c r="AI54" i="18"/>
  <c r="AH54" i="18"/>
  <c r="AK53" i="18"/>
  <c r="AI53" i="18"/>
  <c r="AH53" i="18"/>
  <c r="AJ53" i="18" s="1"/>
  <c r="AK52" i="18"/>
  <c r="AI52" i="18"/>
  <c r="AH52" i="18"/>
  <c r="AK51" i="18"/>
  <c r="AI51" i="18"/>
  <c r="AH51" i="18"/>
  <c r="AL55" i="18" s="1"/>
  <c r="BG50" i="18"/>
  <c r="BE50" i="18"/>
  <c r="BC50" i="18"/>
  <c r="BA50" i="18"/>
  <c r="AY50" i="18"/>
  <c r="AW50" i="18"/>
  <c r="AU50" i="18"/>
  <c r="AS50" i="18"/>
  <c r="AQ50" i="18"/>
  <c r="AO50" i="18"/>
  <c r="AK50" i="18"/>
  <c r="AI50" i="18"/>
  <c r="AJ50" i="18" s="1"/>
  <c r="AH50" i="18"/>
  <c r="AK49" i="18"/>
  <c r="AI49" i="18"/>
  <c r="AH49" i="18"/>
  <c r="AK48" i="18"/>
  <c r="AI48" i="18"/>
  <c r="AH48" i="18"/>
  <c r="AJ48" i="18" s="1"/>
  <c r="AK47" i="18"/>
  <c r="AI47" i="18"/>
  <c r="AH47" i="18"/>
  <c r="AK46" i="18"/>
  <c r="AI46" i="18"/>
  <c r="AH46" i="18"/>
  <c r="AK45" i="18"/>
  <c r="AI45" i="18"/>
  <c r="AH45" i="18"/>
  <c r="AL49" i="18" s="1"/>
  <c r="BG44" i="18"/>
  <c r="BE44" i="18"/>
  <c r="BC44" i="18"/>
  <c r="BA44" i="18"/>
  <c r="AY44" i="18"/>
  <c r="AW44" i="18"/>
  <c r="AU44" i="18"/>
  <c r="AS44" i="18"/>
  <c r="AQ44" i="18"/>
  <c r="AO44" i="18"/>
  <c r="AK44" i="18"/>
  <c r="AI44" i="18"/>
  <c r="AJ44" i="18" s="1"/>
  <c r="AH44" i="18"/>
  <c r="AK43" i="18"/>
  <c r="AI43" i="18"/>
  <c r="AH43" i="18"/>
  <c r="AJ43" i="18" s="1"/>
  <c r="AK42" i="18"/>
  <c r="AI42" i="18"/>
  <c r="AH42" i="18"/>
  <c r="AK41" i="18"/>
  <c r="AI41" i="18"/>
  <c r="AH41" i="18"/>
  <c r="AJ41" i="18" s="1"/>
  <c r="AK40" i="18"/>
  <c r="AI40" i="18"/>
  <c r="AH40" i="18"/>
  <c r="AK39" i="18"/>
  <c r="AI39" i="18"/>
  <c r="AH39" i="18"/>
  <c r="BG38" i="18"/>
  <c r="BE38" i="18"/>
  <c r="BC38" i="18"/>
  <c r="BA38" i="18"/>
  <c r="AY38" i="18"/>
  <c r="AW38" i="18"/>
  <c r="AU38" i="18"/>
  <c r="AS38" i="18"/>
  <c r="AQ38" i="18"/>
  <c r="AO38" i="18"/>
  <c r="AK38" i="18"/>
  <c r="AI38" i="18"/>
  <c r="AJ38" i="18" s="1"/>
  <c r="AH38" i="18"/>
  <c r="AK37" i="18"/>
  <c r="AI37" i="18"/>
  <c r="AH37" i="18"/>
  <c r="AK36" i="18"/>
  <c r="AI36" i="18"/>
  <c r="AH36" i="18"/>
  <c r="AJ36" i="18" s="1"/>
  <c r="AK35" i="18"/>
  <c r="AI35" i="18"/>
  <c r="AH35" i="18"/>
  <c r="AK34" i="18"/>
  <c r="AI34" i="18"/>
  <c r="AH34" i="18"/>
  <c r="AK33" i="18"/>
  <c r="AI33" i="18"/>
  <c r="AH33" i="18"/>
  <c r="BG32" i="18"/>
  <c r="BE32" i="18"/>
  <c r="BC32" i="18"/>
  <c r="BA32" i="18"/>
  <c r="AY32" i="18"/>
  <c r="AW32" i="18"/>
  <c r="AU32" i="18"/>
  <c r="AS32" i="18"/>
  <c r="AQ32" i="18"/>
  <c r="AO32" i="18"/>
  <c r="AK32" i="18"/>
  <c r="AI32" i="18"/>
  <c r="AJ32" i="18" s="1"/>
  <c r="AH32" i="18"/>
  <c r="AK31" i="18"/>
  <c r="AI31" i="18"/>
  <c r="AH31" i="18"/>
  <c r="AJ31" i="18" s="1"/>
  <c r="AK30" i="18"/>
  <c r="AI30" i="18"/>
  <c r="AH30" i="18"/>
  <c r="AK29" i="18"/>
  <c r="AI29" i="18"/>
  <c r="AH29" i="18"/>
  <c r="AJ29" i="18" s="1"/>
  <c r="AK28" i="18"/>
  <c r="AI28" i="18"/>
  <c r="AH28" i="18"/>
  <c r="AK27" i="18"/>
  <c r="AI27" i="18"/>
  <c r="AH27" i="18"/>
  <c r="AL31" i="18" s="1"/>
  <c r="BG26" i="18"/>
  <c r="BE26" i="18"/>
  <c r="BC26" i="18"/>
  <c r="BA26" i="18"/>
  <c r="AY26" i="18"/>
  <c r="AW26" i="18"/>
  <c r="AU26" i="18"/>
  <c r="AS26" i="18"/>
  <c r="AQ26" i="18"/>
  <c r="AO26" i="18"/>
  <c r="AK26" i="18"/>
  <c r="AI26" i="18"/>
  <c r="AJ26" i="18" s="1"/>
  <c r="AH26" i="18"/>
  <c r="AK25" i="18"/>
  <c r="AI25" i="18"/>
  <c r="AH25" i="18"/>
  <c r="AK24" i="18"/>
  <c r="AI24" i="18"/>
  <c r="AH24" i="18"/>
  <c r="AK23" i="18"/>
  <c r="AI23" i="18"/>
  <c r="AH23" i="18"/>
  <c r="AK22" i="18"/>
  <c r="AI22" i="18"/>
  <c r="AH22" i="18"/>
  <c r="AK21" i="18"/>
  <c r="AI21" i="18"/>
  <c r="AH21" i="18"/>
  <c r="BG20" i="18"/>
  <c r="BE20" i="18"/>
  <c r="BC20" i="18"/>
  <c r="BA20" i="18"/>
  <c r="AY20" i="18"/>
  <c r="AW20" i="18"/>
  <c r="AU20" i="18"/>
  <c r="AS20" i="18"/>
  <c r="AQ20" i="18"/>
  <c r="AO20" i="18"/>
  <c r="AK20" i="18"/>
  <c r="AI20" i="18"/>
  <c r="AH20" i="18"/>
  <c r="AK19" i="18"/>
  <c r="AI19" i="18"/>
  <c r="AH19" i="18"/>
  <c r="AJ19" i="18" s="1"/>
  <c r="AK18" i="18"/>
  <c r="AI18" i="18"/>
  <c r="AH18" i="18"/>
  <c r="AK17" i="18"/>
  <c r="AI17" i="18"/>
  <c r="AH17" i="18"/>
  <c r="AJ17" i="18" s="1"/>
  <c r="AK16" i="18"/>
  <c r="AI16" i="18"/>
  <c r="AH16" i="18"/>
  <c r="AK15" i="18"/>
  <c r="AI15" i="18"/>
  <c r="AH15" i="18"/>
  <c r="BG14" i="18"/>
  <c r="BE14" i="18"/>
  <c r="BC14" i="18"/>
  <c r="BA14" i="18"/>
  <c r="AY14" i="18"/>
  <c r="AW14" i="18"/>
  <c r="AU14" i="18"/>
  <c r="AS14" i="18"/>
  <c r="AQ14" i="18"/>
  <c r="AO14" i="18"/>
  <c r="AK14" i="18"/>
  <c r="AI14" i="18"/>
  <c r="AH14" i="18"/>
  <c r="AJ14" i="18" s="1"/>
  <c r="AK13" i="18"/>
  <c r="AI13" i="18"/>
  <c r="AH13" i="18"/>
  <c r="AK12" i="18"/>
  <c r="AI12" i="18"/>
  <c r="AH12" i="18"/>
  <c r="AK11" i="18"/>
  <c r="AI11" i="18"/>
  <c r="AH11" i="18"/>
  <c r="AK10" i="18"/>
  <c r="AI10" i="18"/>
  <c r="AH10" i="18"/>
  <c r="AK9" i="18"/>
  <c r="AI9" i="18"/>
  <c r="AH9" i="18"/>
  <c r="BG8" i="18"/>
  <c r="BE8" i="18"/>
  <c r="BC8" i="18"/>
  <c r="BA8" i="18"/>
  <c r="AY8" i="18"/>
  <c r="AW8" i="18"/>
  <c r="AU8" i="18"/>
  <c r="AS8" i="18"/>
  <c r="AQ8" i="18"/>
  <c r="AO8" i="18"/>
  <c r="AK8" i="18"/>
  <c r="AI8" i="18"/>
  <c r="AH8" i="18"/>
  <c r="AK7" i="18"/>
  <c r="AI7" i="18"/>
  <c r="AH7" i="18"/>
  <c r="AK6" i="18"/>
  <c r="AI6" i="18"/>
  <c r="AH6" i="18"/>
  <c r="AK5" i="18"/>
  <c r="AI5" i="18"/>
  <c r="AH5" i="18"/>
  <c r="AJ5" i="18" s="1"/>
  <c r="AK4" i="18"/>
  <c r="AI4" i="18"/>
  <c r="AH4" i="18"/>
  <c r="AK3" i="18"/>
  <c r="AI3" i="18"/>
  <c r="AH3" i="18"/>
  <c r="AK2" i="18"/>
  <c r="AI2" i="18"/>
  <c r="AH2" i="18"/>
  <c r="K25" i="19" l="1"/>
  <c r="L24" i="19"/>
  <c r="AL43" i="18"/>
  <c r="AL37" i="18"/>
  <c r="AJ20" i="18"/>
  <c r="AL25" i="18"/>
  <c r="AL19" i="18"/>
  <c r="AM7" i="18"/>
  <c r="AM19" i="18"/>
  <c r="AM31" i="18"/>
  <c r="AM49" i="18"/>
  <c r="AM55" i="18"/>
  <c r="AM61" i="18"/>
  <c r="AM73" i="18"/>
  <c r="AM79" i="18"/>
  <c r="AJ3" i="18"/>
  <c r="AJ7" i="18"/>
  <c r="AJ8" i="18"/>
  <c r="AJ34" i="18"/>
  <c r="AJ46" i="18"/>
  <c r="AJ58" i="18"/>
  <c r="AJ70" i="18"/>
  <c r="AJ82" i="18"/>
  <c r="AL91" i="18"/>
  <c r="AJ94" i="18"/>
  <c r="AM25" i="18"/>
  <c r="AM43" i="18"/>
  <c r="AM67" i="18"/>
  <c r="AM85" i="18"/>
  <c r="AM37" i="18"/>
  <c r="AJ12" i="18"/>
  <c r="AJ10" i="18"/>
  <c r="AM13" i="18"/>
  <c r="AJ22" i="18"/>
  <c r="AI98" i="18"/>
  <c r="AJ24" i="18"/>
  <c r="AL13" i="18"/>
  <c r="AK98" i="18"/>
  <c r="AJ4" i="18"/>
  <c r="AL7" i="18"/>
  <c r="AJ9" i="18"/>
  <c r="AJ13" i="18"/>
  <c r="AJ18" i="18"/>
  <c r="AJ25" i="18"/>
  <c r="AJ28" i="18"/>
  <c r="AJ35" i="18"/>
  <c r="AJ42" i="18"/>
  <c r="AJ49" i="18"/>
  <c r="AJ52" i="18"/>
  <c r="AJ59" i="18"/>
  <c r="AJ66" i="18"/>
  <c r="AJ73" i="18"/>
  <c r="AJ76" i="18"/>
  <c r="AJ83" i="18"/>
  <c r="AM91" i="18"/>
  <c r="AJ90" i="18"/>
  <c r="AJ2" i="18"/>
  <c r="AH98" i="18"/>
  <c r="AJ6" i="18"/>
  <c r="AJ11" i="18"/>
  <c r="AJ16" i="18"/>
  <c r="AJ23" i="18"/>
  <c r="AJ30" i="18"/>
  <c r="AJ37" i="18"/>
  <c r="AJ40" i="18"/>
  <c r="AJ47" i="18"/>
  <c r="AJ54" i="18"/>
  <c r="AJ61" i="18"/>
  <c r="AJ64" i="18"/>
  <c r="AJ71" i="18"/>
  <c r="AJ78" i="18"/>
  <c r="AJ85" i="18"/>
  <c r="AJ88" i="18"/>
  <c r="AJ15" i="18"/>
  <c r="AJ21" i="18"/>
  <c r="AJ27" i="18"/>
  <c r="AJ33" i="18"/>
  <c r="AJ39" i="18"/>
  <c r="AJ45" i="18"/>
  <c r="AJ51" i="18"/>
  <c r="AJ57" i="18"/>
  <c r="AJ63" i="18"/>
  <c r="AJ69" i="18"/>
  <c r="AJ75" i="18"/>
  <c r="AJ81" i="18"/>
  <c r="W33" i="17"/>
  <c r="U33" i="17"/>
  <c r="S33" i="17"/>
  <c r="Q33" i="17"/>
  <c r="O33" i="17"/>
  <c r="M33" i="17"/>
  <c r="K33" i="17"/>
  <c r="I33" i="17"/>
  <c r="G33" i="17"/>
  <c r="E33" i="17"/>
  <c r="W32" i="17"/>
  <c r="U32" i="17"/>
  <c r="S32" i="17"/>
  <c r="Q32" i="17"/>
  <c r="O32" i="17"/>
  <c r="M32" i="17"/>
  <c r="K32" i="17"/>
  <c r="I32" i="17"/>
  <c r="G32" i="17"/>
  <c r="E32" i="17"/>
  <c r="W31" i="17"/>
  <c r="U31" i="17"/>
  <c r="S31" i="17"/>
  <c r="Q31" i="17"/>
  <c r="O31" i="17"/>
  <c r="M31" i="17"/>
  <c r="K31" i="17"/>
  <c r="I31" i="17"/>
  <c r="G31" i="17"/>
  <c r="E31" i="17"/>
  <c r="W30" i="17"/>
  <c r="U30" i="17"/>
  <c r="S30" i="17"/>
  <c r="Q30" i="17"/>
  <c r="O30" i="17"/>
  <c r="M30" i="17"/>
  <c r="K30" i="17"/>
  <c r="I30" i="17"/>
  <c r="G30" i="17"/>
  <c r="E30" i="17"/>
  <c r="W29" i="17"/>
  <c r="U29" i="17"/>
  <c r="S29" i="17"/>
  <c r="Q29" i="17"/>
  <c r="O29" i="17"/>
  <c r="M29" i="17"/>
  <c r="K29" i="17"/>
  <c r="I29" i="17"/>
  <c r="G29" i="17"/>
  <c r="E29" i="17"/>
  <c r="W28" i="17"/>
  <c r="U28" i="17"/>
  <c r="S28" i="17"/>
  <c r="Q28" i="17"/>
  <c r="O28" i="17"/>
  <c r="M28" i="17"/>
  <c r="K28" i="17"/>
  <c r="I28" i="17"/>
  <c r="G28" i="17"/>
  <c r="E28" i="17"/>
  <c r="W27" i="17"/>
  <c r="U27" i="17"/>
  <c r="S27" i="17"/>
  <c r="Q27" i="17"/>
  <c r="O27" i="17"/>
  <c r="M27" i="17"/>
  <c r="K27" i="17"/>
  <c r="I27" i="17"/>
  <c r="G27" i="17"/>
  <c r="E27" i="17"/>
  <c r="W26" i="17"/>
  <c r="U26" i="17"/>
  <c r="S26" i="17"/>
  <c r="Q26" i="17"/>
  <c r="O26" i="17"/>
  <c r="M26" i="17"/>
  <c r="K26" i="17"/>
  <c r="I26" i="17"/>
  <c r="G26" i="17"/>
  <c r="E26" i="17"/>
  <c r="W25" i="17"/>
  <c r="U25" i="17"/>
  <c r="S25" i="17"/>
  <c r="Q25" i="17"/>
  <c r="O25" i="17"/>
  <c r="M25" i="17"/>
  <c r="K25" i="17"/>
  <c r="I25" i="17"/>
  <c r="G25" i="17"/>
  <c r="E25" i="17"/>
  <c r="W24" i="17"/>
  <c r="U24" i="17"/>
  <c r="S24" i="17"/>
  <c r="Q24" i="17"/>
  <c r="O24" i="17"/>
  <c r="M24" i="17"/>
  <c r="K24" i="17"/>
  <c r="I24" i="17"/>
  <c r="G24" i="17"/>
  <c r="E24" i="17"/>
  <c r="W23" i="17"/>
  <c r="U23" i="17"/>
  <c r="S23" i="17"/>
  <c r="Q23" i="17"/>
  <c r="O23" i="17"/>
  <c r="M23" i="17"/>
  <c r="K23" i="17"/>
  <c r="I23" i="17"/>
  <c r="G23" i="17"/>
  <c r="E23" i="17"/>
  <c r="W22" i="17"/>
  <c r="U22" i="17"/>
  <c r="S22" i="17"/>
  <c r="Q22" i="17"/>
  <c r="O22" i="17"/>
  <c r="M22" i="17"/>
  <c r="K22" i="17"/>
  <c r="I22" i="17"/>
  <c r="G22" i="17"/>
  <c r="E22" i="17"/>
  <c r="W21" i="17"/>
  <c r="U21" i="17"/>
  <c r="S21" i="17"/>
  <c r="Q21" i="17"/>
  <c r="O21" i="17"/>
  <c r="M21" i="17"/>
  <c r="K21" i="17"/>
  <c r="I21" i="17"/>
  <c r="G21" i="17"/>
  <c r="E21" i="17"/>
  <c r="W20" i="17"/>
  <c r="U20" i="17"/>
  <c r="S20" i="17"/>
  <c r="Q20" i="17"/>
  <c r="O20" i="17"/>
  <c r="M20" i="17"/>
  <c r="K20" i="17"/>
  <c r="I20" i="17"/>
  <c r="G20" i="17"/>
  <c r="E20" i="17"/>
  <c r="W19" i="17"/>
  <c r="U19" i="17"/>
  <c r="S19" i="17"/>
  <c r="Q19" i="17"/>
  <c r="O19" i="17"/>
  <c r="M19" i="17"/>
  <c r="K19" i="17"/>
  <c r="I19" i="17"/>
  <c r="G19" i="17"/>
  <c r="E19" i="17"/>
  <c r="W18" i="17"/>
  <c r="U18" i="17"/>
  <c r="S18" i="17"/>
  <c r="Q18" i="17"/>
  <c r="O18" i="17"/>
  <c r="M18" i="17"/>
  <c r="K18" i="17"/>
  <c r="I18" i="17"/>
  <c r="G18" i="17"/>
  <c r="E18" i="17"/>
  <c r="W17" i="17"/>
  <c r="U17" i="17"/>
  <c r="S17" i="17"/>
  <c r="Q17" i="17"/>
  <c r="O17" i="17"/>
  <c r="M17" i="17"/>
  <c r="K17" i="17"/>
  <c r="I17" i="17"/>
  <c r="G17" i="17"/>
  <c r="E17" i="17"/>
  <c r="W16" i="17"/>
  <c r="U16" i="17"/>
  <c r="S16" i="17"/>
  <c r="Q16" i="17"/>
  <c r="O16" i="17"/>
  <c r="M16" i="17"/>
  <c r="K16" i="17"/>
  <c r="I16" i="17"/>
  <c r="G16" i="17"/>
  <c r="E16" i="17"/>
  <c r="W15" i="17"/>
  <c r="U15" i="17"/>
  <c r="S15" i="17"/>
  <c r="Q15" i="17"/>
  <c r="O15" i="17"/>
  <c r="M15" i="17"/>
  <c r="K15" i="17"/>
  <c r="I15" i="17"/>
  <c r="G15" i="17"/>
  <c r="E15" i="17"/>
  <c r="W14" i="17"/>
  <c r="U14" i="17"/>
  <c r="S14" i="17"/>
  <c r="Q14" i="17"/>
  <c r="O14" i="17"/>
  <c r="M14" i="17"/>
  <c r="K14" i="17"/>
  <c r="I14" i="17"/>
  <c r="G14" i="17"/>
  <c r="E14" i="17"/>
  <c r="W13" i="17"/>
  <c r="U13" i="17"/>
  <c r="S13" i="17"/>
  <c r="Q13" i="17"/>
  <c r="O13" i="17"/>
  <c r="M13" i="17"/>
  <c r="K13" i="17"/>
  <c r="I13" i="17"/>
  <c r="G13" i="17"/>
  <c r="E13" i="17"/>
  <c r="W12" i="17"/>
  <c r="U12" i="17"/>
  <c r="S12" i="17"/>
  <c r="Q12" i="17"/>
  <c r="O12" i="17"/>
  <c r="M12" i="17"/>
  <c r="K12" i="17"/>
  <c r="I12" i="17"/>
  <c r="G12" i="17"/>
  <c r="E12" i="17"/>
  <c r="W11" i="17"/>
  <c r="U11" i="17"/>
  <c r="S11" i="17"/>
  <c r="Q11" i="17"/>
  <c r="O11" i="17"/>
  <c r="M11" i="17"/>
  <c r="K11" i="17"/>
  <c r="I11" i="17"/>
  <c r="G11" i="17"/>
  <c r="E11" i="17"/>
  <c r="W10" i="17"/>
  <c r="U10" i="17"/>
  <c r="S10" i="17"/>
  <c r="Q10" i="17"/>
  <c r="O10" i="17"/>
  <c r="M10" i="17"/>
  <c r="K10" i="17"/>
  <c r="I10" i="17"/>
  <c r="G10" i="17"/>
  <c r="E10" i="17"/>
  <c r="W9" i="17"/>
  <c r="U9" i="17"/>
  <c r="S9" i="17"/>
  <c r="Q9" i="17"/>
  <c r="O9" i="17"/>
  <c r="M9" i="17"/>
  <c r="K9" i="17"/>
  <c r="I9" i="17"/>
  <c r="G9" i="17"/>
  <c r="E9" i="17"/>
  <c r="W8" i="17"/>
  <c r="U8" i="17"/>
  <c r="S8" i="17"/>
  <c r="Q8" i="17"/>
  <c r="O8" i="17"/>
  <c r="M8" i="17"/>
  <c r="K8" i="17"/>
  <c r="I8" i="17"/>
  <c r="G8" i="17"/>
  <c r="E8" i="17"/>
  <c r="W7" i="17"/>
  <c r="U7" i="17"/>
  <c r="S7" i="17"/>
  <c r="Q7" i="17"/>
  <c r="O7" i="17"/>
  <c r="M7" i="17"/>
  <c r="K7" i="17"/>
  <c r="I7" i="17"/>
  <c r="G7" i="17"/>
  <c r="E7" i="17"/>
  <c r="W6" i="17"/>
  <c r="U6" i="17"/>
  <c r="S6" i="17"/>
  <c r="Q6" i="17"/>
  <c r="O6" i="17"/>
  <c r="M6" i="17"/>
  <c r="K6" i="17"/>
  <c r="I6" i="17"/>
  <c r="G6" i="17"/>
  <c r="E6" i="17"/>
  <c r="W5" i="17"/>
  <c r="U5" i="17"/>
  <c r="S5" i="17"/>
  <c r="Q5" i="17"/>
  <c r="O5" i="17"/>
  <c r="M5" i="17"/>
  <c r="K5" i="17"/>
  <c r="I5" i="17"/>
  <c r="G5" i="17"/>
  <c r="E5" i="17"/>
  <c r="W4" i="17"/>
  <c r="U4" i="17"/>
  <c r="S4" i="17"/>
  <c r="Q4" i="17"/>
  <c r="O4" i="17"/>
  <c r="M4" i="17"/>
  <c r="K4" i="17"/>
  <c r="I4" i="17"/>
  <c r="G4" i="17"/>
  <c r="E4" i="17"/>
  <c r="K26" i="19" l="1"/>
  <c r="L25" i="19"/>
  <c r="AM98" i="18"/>
  <c r="AJ98" i="18"/>
  <c r="AL98" i="18"/>
  <c r="W3" i="17"/>
  <c r="U3" i="17"/>
  <c r="S3" i="17"/>
  <c r="Q3" i="17"/>
  <c r="O3" i="17"/>
  <c r="M3" i="17"/>
  <c r="K3" i="17"/>
  <c r="I3" i="17"/>
  <c r="G3" i="17"/>
  <c r="E3" i="17"/>
  <c r="K27" i="19" l="1"/>
  <c r="L26" i="19"/>
  <c r="K28" i="19" l="1"/>
  <c r="L27" i="19"/>
  <c r="V13" i="13"/>
  <c r="F29" i="13"/>
  <c r="E29" i="13"/>
  <c r="K29" i="19" l="1"/>
  <c r="L28" i="19"/>
  <c r="K30" i="19" l="1"/>
  <c r="L29" i="19"/>
  <c r="K31" i="19" l="1"/>
  <c r="L30" i="19"/>
  <c r="K32" i="19" l="1"/>
  <c r="L31" i="19"/>
  <c r="V12" i="13"/>
  <c r="K33" i="19" l="1"/>
  <c r="L32" i="19"/>
  <c r="M62" i="7"/>
  <c r="K34" i="19" l="1"/>
  <c r="L33" i="19"/>
  <c r="AQ50" i="16"/>
  <c r="K35" i="19" l="1"/>
  <c r="L34" i="19"/>
  <c r="AT43" i="16"/>
  <c r="K36" i="19" l="1"/>
  <c r="L35" i="19"/>
  <c r="K37" i="19" l="1"/>
  <c r="L36" i="19"/>
  <c r="K38" i="19" l="1"/>
  <c r="L37" i="19"/>
  <c r="V11" i="13"/>
  <c r="V10" i="13"/>
  <c r="K39" i="19" l="1"/>
  <c r="L38" i="19"/>
  <c r="K40" i="19" l="1"/>
  <c r="L39" i="19"/>
  <c r="AT29" i="16"/>
  <c r="K41" i="19" l="1"/>
  <c r="L41" i="19" s="1"/>
  <c r="L40" i="19"/>
  <c r="AT26" i="16"/>
  <c r="AB26" i="16"/>
  <c r="AT22" i="16" l="1"/>
  <c r="AB19" i="16" l="1"/>
  <c r="AT19" i="16"/>
  <c r="AT15" i="16" l="1"/>
  <c r="BA13" i="16" l="1"/>
  <c r="BA20" i="16"/>
  <c r="BA27" i="16"/>
  <c r="BA34" i="16"/>
  <c r="BA41" i="16"/>
  <c r="BA48" i="16"/>
  <c r="BA55" i="16"/>
  <c r="BA62" i="16"/>
  <c r="BA69" i="16"/>
  <c r="BA76" i="16"/>
  <c r="BA83" i="16"/>
  <c r="BA90" i="16"/>
  <c r="BA97" i="16"/>
  <c r="BA104" i="16"/>
  <c r="BA111" i="16"/>
  <c r="AN19" i="16" l="1"/>
  <c r="AT12" i="16" l="1"/>
  <c r="AT8" i="16" l="1"/>
  <c r="BB8" i="16"/>
  <c r="AB8" i="16" l="1"/>
  <c r="BB111" i="16" l="1"/>
  <c r="BB110" i="16"/>
  <c r="BB109" i="16"/>
  <c r="BB108" i="16"/>
  <c r="BB107" i="16"/>
  <c r="BB106" i="16"/>
  <c r="BB105" i="16"/>
  <c r="BB104" i="16"/>
  <c r="BB103" i="16"/>
  <c r="BB102" i="16"/>
  <c r="BB101" i="16"/>
  <c r="BB100" i="16"/>
  <c r="BB99" i="16"/>
  <c r="BB98" i="16"/>
  <c r="BB97" i="16"/>
  <c r="BB96" i="16"/>
  <c r="BB95" i="16"/>
  <c r="BB94" i="16"/>
  <c r="BB93" i="16"/>
  <c r="BB92" i="16"/>
  <c r="BB91" i="16"/>
  <c r="BB90" i="16"/>
  <c r="BB89" i="16"/>
  <c r="BB88" i="16"/>
  <c r="BB87" i="16"/>
  <c r="BB86" i="16"/>
  <c r="BB85" i="16"/>
  <c r="BB84" i="16"/>
  <c r="BB83" i="16"/>
  <c r="BB82" i="16"/>
  <c r="BB81" i="16"/>
  <c r="BB80" i="16"/>
  <c r="BB79" i="16"/>
  <c r="BB78" i="16"/>
  <c r="BB77" i="16"/>
  <c r="BB76" i="16"/>
  <c r="BB75" i="16"/>
  <c r="BB74" i="16"/>
  <c r="BB73" i="16"/>
  <c r="BB72" i="16"/>
  <c r="BB71" i="16"/>
  <c r="BB70" i="16"/>
  <c r="BB69" i="16"/>
  <c r="BB68" i="16"/>
  <c r="BB67" i="16"/>
  <c r="BB66" i="16"/>
  <c r="BB65" i="16"/>
  <c r="BB64" i="16"/>
  <c r="BB63" i="16"/>
  <c r="BB62" i="16"/>
  <c r="BB61" i="16"/>
  <c r="BB60" i="16"/>
  <c r="BB59" i="16"/>
  <c r="BB58" i="16"/>
  <c r="BB57" i="16"/>
  <c r="BB56" i="16"/>
  <c r="BB55" i="16"/>
  <c r="BB54" i="16"/>
  <c r="BB53" i="16"/>
  <c r="BB52" i="16"/>
  <c r="BB51" i="16"/>
  <c r="BB50" i="16"/>
  <c r="BB49" i="16"/>
  <c r="BB48" i="16"/>
  <c r="BB47" i="16"/>
  <c r="BB46" i="16"/>
  <c r="BB45" i="16"/>
  <c r="BB44" i="16"/>
  <c r="BB43" i="16"/>
  <c r="BB42" i="16"/>
  <c r="BB41" i="16"/>
  <c r="BB40" i="16"/>
  <c r="BB39" i="16"/>
  <c r="BB38" i="16"/>
  <c r="BB37" i="16"/>
  <c r="BB36" i="16"/>
  <c r="BB35" i="16"/>
  <c r="BB34" i="16"/>
  <c r="BB33" i="16"/>
  <c r="BB32" i="16"/>
  <c r="BB31" i="16"/>
  <c r="BB30" i="16"/>
  <c r="BB29" i="16"/>
  <c r="BB28" i="16"/>
  <c r="BB27" i="16"/>
  <c r="BB26" i="16"/>
  <c r="BB25" i="16"/>
  <c r="BB24" i="16"/>
  <c r="BB23" i="16"/>
  <c r="BB22" i="16"/>
  <c r="BB21" i="16"/>
  <c r="BB20" i="16"/>
  <c r="BB19" i="16"/>
  <c r="BB18" i="16"/>
  <c r="BB17" i="16"/>
  <c r="BB16" i="16"/>
  <c r="BB15" i="16"/>
  <c r="BB14" i="16"/>
  <c r="BB13" i="16"/>
  <c r="BB12" i="16"/>
  <c r="BB11" i="16"/>
  <c r="BB10" i="16"/>
  <c r="BB9" i="16"/>
  <c r="BB7" i="16"/>
  <c r="BA110" i="16"/>
  <c r="BA109" i="16"/>
  <c r="BA108" i="16"/>
  <c r="BA107" i="16"/>
  <c r="BA106" i="16"/>
  <c r="BA105" i="16"/>
  <c r="BA103" i="16"/>
  <c r="BA102" i="16"/>
  <c r="BA101" i="16"/>
  <c r="BA100" i="16"/>
  <c r="BA99" i="16"/>
  <c r="BA98" i="16"/>
  <c r="BA96" i="16"/>
  <c r="BA95" i="16"/>
  <c r="BA94" i="16"/>
  <c r="BA93" i="16"/>
  <c r="BA92" i="16"/>
  <c r="BA91" i="16"/>
  <c r="BA89" i="16"/>
  <c r="BA88" i="16"/>
  <c r="BA87" i="16"/>
  <c r="BA86" i="16"/>
  <c r="BA85" i="16"/>
  <c r="BA84" i="16"/>
  <c r="BA82" i="16"/>
  <c r="BA81" i="16"/>
  <c r="BA80" i="16"/>
  <c r="BA79" i="16"/>
  <c r="BA78" i="16"/>
  <c r="BA77" i="16"/>
  <c r="BA75" i="16"/>
  <c r="BA74" i="16"/>
  <c r="BA73" i="16"/>
  <c r="BA72" i="16"/>
  <c r="BA71" i="16"/>
  <c r="BA70" i="16"/>
  <c r="BA68" i="16"/>
  <c r="BA67" i="16"/>
  <c r="BA66" i="16"/>
  <c r="BA65" i="16"/>
  <c r="BA64" i="16"/>
  <c r="BA63" i="16"/>
  <c r="BA61" i="16"/>
  <c r="BA60" i="16"/>
  <c r="BA59" i="16"/>
  <c r="BA58" i="16"/>
  <c r="BA57" i="16"/>
  <c r="BA56" i="16"/>
  <c r="BA54" i="16"/>
  <c r="BA53" i="16"/>
  <c r="BA52" i="16"/>
  <c r="BA51" i="16"/>
  <c r="BA50" i="16"/>
  <c r="BA49" i="16"/>
  <c r="BA47" i="16"/>
  <c r="BA46" i="16"/>
  <c r="BA45" i="16"/>
  <c r="BA44" i="16"/>
  <c r="BA43" i="16"/>
  <c r="BA42" i="16"/>
  <c r="BA40" i="16"/>
  <c r="BA39" i="16"/>
  <c r="BA38" i="16"/>
  <c r="BA37" i="16"/>
  <c r="BA36" i="16"/>
  <c r="BA35" i="16"/>
  <c r="BA33" i="16"/>
  <c r="BA32" i="16"/>
  <c r="BA31" i="16"/>
  <c r="BA30" i="16"/>
  <c r="BA29" i="16"/>
  <c r="BA28" i="16"/>
  <c r="BA26" i="16"/>
  <c r="BA25" i="16"/>
  <c r="BA24" i="16"/>
  <c r="BA23" i="16"/>
  <c r="BA22" i="16"/>
  <c r="BA21" i="16"/>
  <c r="BA19" i="16"/>
  <c r="BA18" i="16"/>
  <c r="BA17" i="16"/>
  <c r="BA16" i="16"/>
  <c r="BA15" i="16"/>
  <c r="BA14" i="16"/>
  <c r="BA11" i="16"/>
  <c r="BA10" i="16"/>
  <c r="BA9" i="16"/>
  <c r="BA8" i="16"/>
  <c r="BA7" i="16"/>
  <c r="AN12" i="16"/>
  <c r="BA12" i="16" s="1"/>
  <c r="BX105" i="16"/>
  <c r="BV105" i="16"/>
  <c r="BT105" i="16"/>
  <c r="BR105" i="16"/>
  <c r="BP105" i="16"/>
  <c r="BN105" i="16"/>
  <c r="BL105" i="16"/>
  <c r="BJ105" i="16"/>
  <c r="BH105" i="16"/>
  <c r="BF105" i="16"/>
  <c r="BX98" i="16"/>
  <c r="BV98" i="16"/>
  <c r="BT98" i="16"/>
  <c r="BR98" i="16"/>
  <c r="BP98" i="16"/>
  <c r="BN98" i="16"/>
  <c r="BL98" i="16"/>
  <c r="BJ98" i="16"/>
  <c r="BH98" i="16"/>
  <c r="BF98" i="16"/>
  <c r="BX91" i="16"/>
  <c r="BV91" i="16"/>
  <c r="BT91" i="16"/>
  <c r="BR91" i="16"/>
  <c r="BP91" i="16"/>
  <c r="BN91" i="16"/>
  <c r="BL91" i="16"/>
  <c r="BJ91" i="16"/>
  <c r="BH91" i="16"/>
  <c r="BF91" i="16"/>
  <c r="BX84" i="16"/>
  <c r="BV84" i="16"/>
  <c r="BT84" i="16"/>
  <c r="BR84" i="16"/>
  <c r="BP84" i="16"/>
  <c r="BN84" i="16"/>
  <c r="BL84" i="16"/>
  <c r="BJ84" i="16"/>
  <c r="BH84" i="16"/>
  <c r="BF84" i="16"/>
  <c r="BX77" i="16"/>
  <c r="BV77" i="16"/>
  <c r="BT77" i="16"/>
  <c r="BR77" i="16"/>
  <c r="BP77" i="16"/>
  <c r="BN77" i="16"/>
  <c r="BL77" i="16"/>
  <c r="BJ77" i="16"/>
  <c r="BH77" i="16"/>
  <c r="BF77" i="16"/>
  <c r="BX70" i="16"/>
  <c r="BV70" i="16"/>
  <c r="BT70" i="16"/>
  <c r="BR70" i="16"/>
  <c r="BP70" i="16"/>
  <c r="BN70" i="16"/>
  <c r="BL70" i="16"/>
  <c r="BJ70" i="16"/>
  <c r="BH70" i="16"/>
  <c r="BF70" i="16"/>
  <c r="BX63" i="16"/>
  <c r="BV63" i="16"/>
  <c r="BT63" i="16"/>
  <c r="BR63" i="16"/>
  <c r="BP63" i="16"/>
  <c r="BN63" i="16"/>
  <c r="BL63" i="16"/>
  <c r="BJ63" i="16"/>
  <c r="BH63" i="16"/>
  <c r="BF63" i="16"/>
  <c r="BX56" i="16"/>
  <c r="BV56" i="16"/>
  <c r="BT56" i="16"/>
  <c r="BR56" i="16"/>
  <c r="BP56" i="16"/>
  <c r="BN56" i="16"/>
  <c r="BL56" i="16"/>
  <c r="BJ56" i="16"/>
  <c r="BH56" i="16"/>
  <c r="BF56" i="16"/>
  <c r="BX49" i="16"/>
  <c r="BV49" i="16"/>
  <c r="BT49" i="16"/>
  <c r="BR49" i="16"/>
  <c r="BP49" i="16"/>
  <c r="BN49" i="16"/>
  <c r="BL49" i="16"/>
  <c r="BJ49" i="16"/>
  <c r="BH49" i="16"/>
  <c r="BF49" i="16"/>
  <c r="BX42" i="16"/>
  <c r="BV42" i="16"/>
  <c r="BT42" i="16"/>
  <c r="BR42" i="16"/>
  <c r="BP42" i="16"/>
  <c r="BN42" i="16"/>
  <c r="BL42" i="16"/>
  <c r="BJ42" i="16"/>
  <c r="BH42" i="16"/>
  <c r="BF42" i="16"/>
  <c r="BX35" i="16"/>
  <c r="BV35" i="16"/>
  <c r="BT35" i="16"/>
  <c r="BR35" i="16"/>
  <c r="BP35" i="16"/>
  <c r="BN35" i="16"/>
  <c r="BL35" i="16"/>
  <c r="BJ35" i="16"/>
  <c r="BH35" i="16"/>
  <c r="BF35" i="16"/>
  <c r="BX28" i="16"/>
  <c r="BV28" i="16"/>
  <c r="BT28" i="16"/>
  <c r="BR28" i="16"/>
  <c r="BP28" i="16"/>
  <c r="BN28" i="16"/>
  <c r="BL28" i="16"/>
  <c r="BJ28" i="16"/>
  <c r="BH28" i="16"/>
  <c r="BF28" i="16"/>
  <c r="BX21" i="16"/>
  <c r="BV21" i="16"/>
  <c r="BT21" i="16"/>
  <c r="BR21" i="16"/>
  <c r="BP21" i="16"/>
  <c r="BN21" i="16"/>
  <c r="BL21" i="16"/>
  <c r="BJ21" i="16"/>
  <c r="BH21" i="16"/>
  <c r="BF21" i="16"/>
  <c r="BX14" i="16"/>
  <c r="BV14" i="16"/>
  <c r="BT14" i="16"/>
  <c r="BR14" i="16"/>
  <c r="BP14" i="16"/>
  <c r="BN14" i="16"/>
  <c r="BL14" i="16"/>
  <c r="BJ14" i="16"/>
  <c r="BH14" i="16"/>
  <c r="BF14" i="16"/>
  <c r="BD13" i="16" l="1"/>
  <c r="BD20" i="16"/>
  <c r="BD41" i="16"/>
  <c r="BD55" i="16"/>
  <c r="BD69" i="16"/>
  <c r="BD83" i="16"/>
  <c r="BD97" i="16"/>
  <c r="BD111" i="16"/>
  <c r="BC13" i="16"/>
  <c r="BD48" i="16"/>
  <c r="BD27" i="16"/>
  <c r="BC34" i="16"/>
  <c r="BA113" i="16"/>
  <c r="BC27" i="16"/>
  <c r="BD34" i="16"/>
  <c r="BC41" i="16"/>
  <c r="BC55" i="16"/>
  <c r="BD62" i="16"/>
  <c r="BC69" i="16"/>
  <c r="BD76" i="16"/>
  <c r="BC83" i="16"/>
  <c r="BD90" i="16"/>
  <c r="BC97" i="16"/>
  <c r="BD104" i="16"/>
  <c r="BC111" i="16"/>
  <c r="BC20" i="16"/>
  <c r="BB113" i="16"/>
  <c r="BC48" i="16"/>
  <c r="BC62" i="16"/>
  <c r="BC76" i="16"/>
  <c r="BC90" i="16"/>
  <c r="BC104" i="16"/>
  <c r="BD113" i="16" l="1"/>
  <c r="BC113" i="16"/>
  <c r="V9" i="13" l="1"/>
  <c r="F89" i="8" l="1"/>
  <c r="V8" i="13" l="1"/>
  <c r="M61" i="7" l="1"/>
  <c r="V7" i="13" l="1"/>
  <c r="V6" i="13"/>
  <c r="V5" i="13"/>
  <c r="V4" i="13"/>
  <c r="H186" i="8" l="1"/>
  <c r="F17" i="15" l="1"/>
  <c r="E17" i="15"/>
  <c r="AJ89" i="12" l="1"/>
  <c r="AH89" i="12"/>
  <c r="AG89" i="12"/>
  <c r="AJ83" i="12"/>
  <c r="AH83" i="12"/>
  <c r="AG83" i="12"/>
  <c r="AI83" i="12" s="1"/>
  <c r="AJ77" i="12"/>
  <c r="AH77" i="12"/>
  <c r="AG77" i="12"/>
  <c r="AI77" i="12" s="1"/>
  <c r="AJ71" i="12"/>
  <c r="AH71" i="12"/>
  <c r="AG71" i="12"/>
  <c r="AJ65" i="12"/>
  <c r="AH65" i="12"/>
  <c r="AG65" i="12"/>
  <c r="AJ59" i="12"/>
  <c r="AH59" i="12"/>
  <c r="AI59" i="12" s="1"/>
  <c r="AG59" i="12"/>
  <c r="AJ53" i="12"/>
  <c r="AH53" i="12"/>
  <c r="AI53" i="12" s="1"/>
  <c r="AG53" i="12"/>
  <c r="AJ47" i="12"/>
  <c r="AH47" i="12"/>
  <c r="AI47" i="12" s="1"/>
  <c r="AG47" i="12"/>
  <c r="AJ41" i="12"/>
  <c r="AH41" i="12"/>
  <c r="AG41" i="12"/>
  <c r="AJ35" i="12"/>
  <c r="AH35" i="12"/>
  <c r="AG35" i="12"/>
  <c r="AJ29" i="12"/>
  <c r="AH29" i="12"/>
  <c r="AG29" i="12"/>
  <c r="AJ23" i="12"/>
  <c r="AH23" i="12"/>
  <c r="AI23" i="12" s="1"/>
  <c r="AG23" i="12"/>
  <c r="AJ17" i="12"/>
  <c r="AH17" i="12"/>
  <c r="AI17" i="12" s="1"/>
  <c r="AG17" i="12"/>
  <c r="AJ11" i="12"/>
  <c r="AH11" i="12"/>
  <c r="AG11" i="12"/>
  <c r="AJ5" i="12"/>
  <c r="AH5" i="12"/>
  <c r="AG5" i="12"/>
  <c r="AI5" i="12" s="1"/>
  <c r="AA99" i="12"/>
  <c r="U99" i="12"/>
  <c r="L99" i="12"/>
  <c r="K99" i="12"/>
  <c r="E99" i="12"/>
  <c r="D99" i="12"/>
  <c r="AN96" i="12"/>
  <c r="AJ96" i="12"/>
  <c r="AH96" i="12"/>
  <c r="AG96" i="12"/>
  <c r="AJ95" i="12"/>
  <c r="AH95" i="12"/>
  <c r="AG95" i="12"/>
  <c r="AJ94" i="12"/>
  <c r="AH94" i="12"/>
  <c r="AG94" i="12"/>
  <c r="AJ93" i="12"/>
  <c r="AH93" i="12"/>
  <c r="AG93" i="12"/>
  <c r="BF92" i="12"/>
  <c r="BD92" i="12"/>
  <c r="BB92" i="12"/>
  <c r="AZ92" i="12"/>
  <c r="AX92" i="12"/>
  <c r="AV92" i="12"/>
  <c r="AT92" i="12"/>
  <c r="AR92" i="12"/>
  <c r="AP92" i="12"/>
  <c r="AN92" i="12"/>
  <c r="AJ92" i="12"/>
  <c r="AH92" i="12"/>
  <c r="AG92" i="12"/>
  <c r="AJ91" i="12"/>
  <c r="AH91" i="12"/>
  <c r="AG91" i="12"/>
  <c r="AJ90" i="12"/>
  <c r="AH90" i="12"/>
  <c r="AG90" i="12"/>
  <c r="AJ88" i="12"/>
  <c r="AH88" i="12"/>
  <c r="AG88" i="12"/>
  <c r="AJ87" i="12"/>
  <c r="AH87" i="12"/>
  <c r="AG87" i="12"/>
  <c r="BF86" i="12"/>
  <c r="BD86" i="12"/>
  <c r="BB86" i="12"/>
  <c r="AZ86" i="12"/>
  <c r="AX86" i="12"/>
  <c r="AV86" i="12"/>
  <c r="AT86" i="12"/>
  <c r="AR86" i="12"/>
  <c r="AP86" i="12"/>
  <c r="AN86" i="12"/>
  <c r="AJ86" i="12"/>
  <c r="AH86" i="12"/>
  <c r="AG86" i="12"/>
  <c r="AJ85" i="12"/>
  <c r="AH85" i="12"/>
  <c r="AG85" i="12"/>
  <c r="AJ84" i="12"/>
  <c r="AH84" i="12"/>
  <c r="AG84" i="12"/>
  <c r="AJ82" i="12"/>
  <c r="AH82" i="12"/>
  <c r="AG82" i="12"/>
  <c r="AJ81" i="12"/>
  <c r="AH81" i="12"/>
  <c r="AG81" i="12"/>
  <c r="BF80" i="12"/>
  <c r="BD80" i="12"/>
  <c r="BB80" i="12"/>
  <c r="AZ80" i="12"/>
  <c r="AX80" i="12"/>
  <c r="AV80" i="12"/>
  <c r="AT80" i="12"/>
  <c r="AR80" i="12"/>
  <c r="AP80" i="12"/>
  <c r="AN80" i="12"/>
  <c r="AJ80" i="12"/>
  <c r="AH80" i="12"/>
  <c r="AG80" i="12"/>
  <c r="AJ79" i="12"/>
  <c r="AH79" i="12"/>
  <c r="AG79" i="12"/>
  <c r="AJ78" i="12"/>
  <c r="AH78" i="12"/>
  <c r="AG78" i="12"/>
  <c r="AI78" i="12" s="1"/>
  <c r="AJ76" i="12"/>
  <c r="AH76" i="12"/>
  <c r="AG76" i="12"/>
  <c r="AJ75" i="12"/>
  <c r="AH75" i="12"/>
  <c r="AG75" i="12"/>
  <c r="BF74" i="12"/>
  <c r="BD74" i="12"/>
  <c r="BB74" i="12"/>
  <c r="AZ74" i="12"/>
  <c r="AX74" i="12"/>
  <c r="AV74" i="12"/>
  <c r="AT74" i="12"/>
  <c r="AR74" i="12"/>
  <c r="AP74" i="12"/>
  <c r="AN74" i="12"/>
  <c r="AJ74" i="12"/>
  <c r="AH74" i="12"/>
  <c r="AG74" i="12"/>
  <c r="AJ73" i="12"/>
  <c r="AH73" i="12"/>
  <c r="AG73" i="12"/>
  <c r="AJ72" i="12"/>
  <c r="AH72" i="12"/>
  <c r="AG72" i="12"/>
  <c r="AJ70" i="12"/>
  <c r="AH70" i="12"/>
  <c r="AG70" i="12"/>
  <c r="AJ69" i="12"/>
  <c r="AH69" i="12"/>
  <c r="AG69" i="12"/>
  <c r="BF68" i="12"/>
  <c r="BD68" i="12"/>
  <c r="BB68" i="12"/>
  <c r="AZ68" i="12"/>
  <c r="AX68" i="12"/>
  <c r="AV68" i="12"/>
  <c r="AT68" i="12"/>
  <c r="AR68" i="12"/>
  <c r="AP68" i="12"/>
  <c r="AN68" i="12"/>
  <c r="AJ68" i="12"/>
  <c r="AH68" i="12"/>
  <c r="AG68" i="12"/>
  <c r="AJ67" i="12"/>
  <c r="AH67" i="12"/>
  <c r="AG67" i="12"/>
  <c r="AJ66" i="12"/>
  <c r="AH66" i="12"/>
  <c r="AG66" i="12"/>
  <c r="AJ64" i="12"/>
  <c r="AH64" i="12"/>
  <c r="AG64" i="12"/>
  <c r="AJ63" i="12"/>
  <c r="AH63" i="12"/>
  <c r="AG63" i="12"/>
  <c r="BF62" i="12"/>
  <c r="BD62" i="12"/>
  <c r="BB62" i="12"/>
  <c r="AZ62" i="12"/>
  <c r="AX62" i="12"/>
  <c r="AV62" i="12"/>
  <c r="AT62" i="12"/>
  <c r="AR62" i="12"/>
  <c r="AP62" i="12"/>
  <c r="AN62" i="12"/>
  <c r="AJ62" i="12"/>
  <c r="AH62" i="12"/>
  <c r="AG62" i="12"/>
  <c r="AJ61" i="12"/>
  <c r="AH61" i="12"/>
  <c r="AG61" i="12"/>
  <c r="AJ60" i="12"/>
  <c r="AH60" i="12"/>
  <c r="AG60" i="12"/>
  <c r="AJ58" i="12"/>
  <c r="AH58" i="12"/>
  <c r="AG58" i="12"/>
  <c r="AJ57" i="12"/>
  <c r="AH57" i="12"/>
  <c r="AG57" i="12"/>
  <c r="BF56" i="12"/>
  <c r="BD56" i="12"/>
  <c r="BB56" i="12"/>
  <c r="AZ56" i="12"/>
  <c r="AX56" i="12"/>
  <c r="AV56" i="12"/>
  <c r="AT56" i="12"/>
  <c r="AR56" i="12"/>
  <c r="AP56" i="12"/>
  <c r="AN56" i="12"/>
  <c r="AJ56" i="12"/>
  <c r="AH56" i="12"/>
  <c r="AG56" i="12"/>
  <c r="AJ55" i="12"/>
  <c r="AH55" i="12"/>
  <c r="AG55" i="12"/>
  <c r="AJ54" i="12"/>
  <c r="AH54" i="12"/>
  <c r="AG54" i="12"/>
  <c r="AI54" i="12" s="1"/>
  <c r="AJ52" i="12"/>
  <c r="AH52" i="12"/>
  <c r="AG52" i="12"/>
  <c r="AJ51" i="12"/>
  <c r="AH51" i="12"/>
  <c r="AG51" i="12"/>
  <c r="BF50" i="12"/>
  <c r="BD50" i="12"/>
  <c r="BB50" i="12"/>
  <c r="AZ50" i="12"/>
  <c r="AX50" i="12"/>
  <c r="AV50" i="12"/>
  <c r="AT50" i="12"/>
  <c r="AR50" i="12"/>
  <c r="AP50" i="12"/>
  <c r="AN50" i="12"/>
  <c r="AJ50" i="12"/>
  <c r="AH50" i="12"/>
  <c r="AG50" i="12"/>
  <c r="AJ49" i="12"/>
  <c r="AH49" i="12"/>
  <c r="AG49" i="12"/>
  <c r="AJ48" i="12"/>
  <c r="AH48" i="12"/>
  <c r="AG48" i="12"/>
  <c r="AJ46" i="12"/>
  <c r="AH46" i="12"/>
  <c r="AG46" i="12"/>
  <c r="AJ45" i="12"/>
  <c r="AH45" i="12"/>
  <c r="AG45" i="12"/>
  <c r="BF44" i="12"/>
  <c r="BD44" i="12"/>
  <c r="BB44" i="12"/>
  <c r="AZ44" i="12"/>
  <c r="AX44" i="12"/>
  <c r="AV44" i="12"/>
  <c r="AT44" i="12"/>
  <c r="AR44" i="12"/>
  <c r="AP44" i="12"/>
  <c r="AN44" i="12"/>
  <c r="AJ44" i="12"/>
  <c r="AH44" i="12"/>
  <c r="AG44" i="12"/>
  <c r="AJ43" i="12"/>
  <c r="AH43" i="12"/>
  <c r="AG43" i="12"/>
  <c r="AJ42" i="12"/>
  <c r="AH42" i="12"/>
  <c r="AG42" i="12"/>
  <c r="AJ40" i="12"/>
  <c r="AH40" i="12"/>
  <c r="AG40" i="12"/>
  <c r="AJ39" i="12"/>
  <c r="AH39" i="12"/>
  <c r="AG39" i="12"/>
  <c r="BF38" i="12"/>
  <c r="BD38" i="12"/>
  <c r="BB38" i="12"/>
  <c r="AZ38" i="12"/>
  <c r="AX38" i="12"/>
  <c r="AV38" i="12"/>
  <c r="AT38" i="12"/>
  <c r="AR38" i="12"/>
  <c r="AP38" i="12"/>
  <c r="AN38" i="12"/>
  <c r="AJ38" i="12"/>
  <c r="AH38" i="12"/>
  <c r="AG38" i="12"/>
  <c r="AJ37" i="12"/>
  <c r="AH37" i="12"/>
  <c r="AG37" i="12"/>
  <c r="AJ36" i="12"/>
  <c r="AH36" i="12"/>
  <c r="AG36" i="12"/>
  <c r="AJ34" i="12"/>
  <c r="AH34" i="12"/>
  <c r="AG34" i="12"/>
  <c r="AJ33" i="12"/>
  <c r="AH33" i="12"/>
  <c r="AG33" i="12"/>
  <c r="BF32" i="12"/>
  <c r="BD32" i="12"/>
  <c r="BB32" i="12"/>
  <c r="AZ32" i="12"/>
  <c r="AX32" i="12"/>
  <c r="AV32" i="12"/>
  <c r="AT32" i="12"/>
  <c r="AR32" i="12"/>
  <c r="AP32" i="12"/>
  <c r="AN32" i="12"/>
  <c r="AJ32" i="12"/>
  <c r="AH32" i="12"/>
  <c r="AG32" i="12"/>
  <c r="AJ31" i="12"/>
  <c r="AH31" i="12"/>
  <c r="AG31" i="12"/>
  <c r="AJ30" i="12"/>
  <c r="AH30" i="12"/>
  <c r="AG30" i="12"/>
  <c r="AJ28" i="12"/>
  <c r="AH28" i="12"/>
  <c r="AG28" i="12"/>
  <c r="AJ27" i="12"/>
  <c r="AH27" i="12"/>
  <c r="AG27" i="12"/>
  <c r="BF26" i="12"/>
  <c r="BD26" i="12"/>
  <c r="BB26" i="12"/>
  <c r="AZ26" i="12"/>
  <c r="AX26" i="12"/>
  <c r="AV26" i="12"/>
  <c r="AT26" i="12"/>
  <c r="AR26" i="12"/>
  <c r="AP26" i="12"/>
  <c r="AN26" i="12"/>
  <c r="AJ26" i="12"/>
  <c r="AH26" i="12"/>
  <c r="AG26" i="12"/>
  <c r="AJ25" i="12"/>
  <c r="AH25" i="12"/>
  <c r="AG25" i="12"/>
  <c r="AJ24" i="12"/>
  <c r="AH24" i="12"/>
  <c r="AG24" i="12"/>
  <c r="AJ22" i="12"/>
  <c r="AH22" i="12"/>
  <c r="AG22" i="12"/>
  <c r="AJ21" i="12"/>
  <c r="AH21" i="12"/>
  <c r="AG21" i="12"/>
  <c r="BF20" i="12"/>
  <c r="BD20" i="12"/>
  <c r="BB20" i="12"/>
  <c r="AZ20" i="12"/>
  <c r="AX20" i="12"/>
  <c r="AV20" i="12"/>
  <c r="AT20" i="12"/>
  <c r="AR20" i="12"/>
  <c r="AP20" i="12"/>
  <c r="AN20" i="12"/>
  <c r="AJ20" i="12"/>
  <c r="AH20" i="12"/>
  <c r="AG20" i="12"/>
  <c r="AJ19" i="12"/>
  <c r="AH19" i="12"/>
  <c r="AG19" i="12"/>
  <c r="AJ18" i="12"/>
  <c r="AH18" i="12"/>
  <c r="AG18" i="12"/>
  <c r="AJ16" i="12"/>
  <c r="AH16" i="12"/>
  <c r="AG16" i="12"/>
  <c r="AJ15" i="12"/>
  <c r="AH15" i="12"/>
  <c r="AG15" i="12"/>
  <c r="BF14" i="12"/>
  <c r="BD14" i="12"/>
  <c r="BB14" i="12"/>
  <c r="AZ14" i="12"/>
  <c r="AX14" i="12"/>
  <c r="AV14" i="12"/>
  <c r="AT14" i="12"/>
  <c r="AR14" i="12"/>
  <c r="AP14" i="12"/>
  <c r="AN14" i="12"/>
  <c r="AJ14" i="12"/>
  <c r="AH14" i="12"/>
  <c r="AG14" i="12"/>
  <c r="AJ13" i="12"/>
  <c r="AH13" i="12"/>
  <c r="AG13" i="12"/>
  <c r="AJ12" i="12"/>
  <c r="AH12" i="12"/>
  <c r="AG12" i="12"/>
  <c r="AJ10" i="12"/>
  <c r="AH10" i="12"/>
  <c r="AG10" i="12"/>
  <c r="AJ9" i="12"/>
  <c r="AH9" i="12"/>
  <c r="AG9" i="12"/>
  <c r="BF8" i="12"/>
  <c r="BD8" i="12"/>
  <c r="BB8" i="12"/>
  <c r="AZ8" i="12"/>
  <c r="AX8" i="12"/>
  <c r="AV8" i="12"/>
  <c r="AT8" i="12"/>
  <c r="AR8" i="12"/>
  <c r="AP8" i="12"/>
  <c r="AN8" i="12"/>
  <c r="AJ8" i="12"/>
  <c r="AH8" i="12"/>
  <c r="AG8" i="12"/>
  <c r="AJ7" i="12"/>
  <c r="AH7" i="12"/>
  <c r="AG7" i="12"/>
  <c r="AJ6" i="12"/>
  <c r="AH6" i="12"/>
  <c r="AG6" i="12"/>
  <c r="AJ4" i="12"/>
  <c r="AH4" i="12"/>
  <c r="AG4" i="12"/>
  <c r="AJ3" i="12"/>
  <c r="AH3" i="12"/>
  <c r="AG3" i="12"/>
  <c r="AJ2" i="12"/>
  <c r="AH2" i="12"/>
  <c r="AG2" i="12"/>
  <c r="AI86" i="12" l="1"/>
  <c r="AI11" i="12"/>
  <c r="AI51" i="12"/>
  <c r="AI56" i="12"/>
  <c r="AI58" i="12"/>
  <c r="AI75" i="12"/>
  <c r="AI80" i="12"/>
  <c r="AI82" i="12"/>
  <c r="AI29" i="12"/>
  <c r="AI65" i="12"/>
  <c r="AI35" i="12"/>
  <c r="AI89" i="12"/>
  <c r="AI85" i="12"/>
  <c r="AI71" i="12"/>
  <c r="AI61" i="12"/>
  <c r="AI41" i="12"/>
  <c r="AI19" i="12"/>
  <c r="AI21" i="12"/>
  <c r="AI26" i="12"/>
  <c r="AL43" i="12"/>
  <c r="AI43" i="12"/>
  <c r="AI45" i="12"/>
  <c r="AI50" i="12"/>
  <c r="AI14" i="12"/>
  <c r="AI16" i="12"/>
  <c r="AI24" i="12"/>
  <c r="AI40" i="12"/>
  <c r="AI48" i="12"/>
  <c r="AI93" i="12"/>
  <c r="AI95" i="12"/>
  <c r="AI3" i="12"/>
  <c r="AI8" i="12"/>
  <c r="AI10" i="12"/>
  <c r="AI27" i="12"/>
  <c r="AI32" i="12"/>
  <c r="AI34" i="12"/>
  <c r="AL49" i="12"/>
  <c r="AI67" i="12"/>
  <c r="AI69" i="12"/>
  <c r="AI74" i="12"/>
  <c r="AI91" i="12"/>
  <c r="AH98" i="12"/>
  <c r="AI6" i="12"/>
  <c r="AL13" i="12"/>
  <c r="AI13" i="12"/>
  <c r="AI30" i="12"/>
  <c r="AI37" i="12"/>
  <c r="AI38" i="12"/>
  <c r="AI62" i="12"/>
  <c r="AI64" i="12"/>
  <c r="AI72" i="12"/>
  <c r="AL79" i="12"/>
  <c r="AI88" i="12"/>
  <c r="AI4" i="12"/>
  <c r="AI12" i="12"/>
  <c r="AI15" i="12"/>
  <c r="AI20" i="12"/>
  <c r="AI22" i="12"/>
  <c r="AI31" i="12"/>
  <c r="AI33" i="12"/>
  <c r="AI42" i="12"/>
  <c r="AI49" i="12"/>
  <c r="AI52" i="12"/>
  <c r="AI60" i="12"/>
  <c r="AI63" i="12"/>
  <c r="AI68" i="12"/>
  <c r="AI70" i="12"/>
  <c r="AI79" i="12"/>
  <c r="AI81" i="12"/>
  <c r="AI90" i="12"/>
  <c r="AI96" i="12"/>
  <c r="AI2" i="12"/>
  <c r="AI7" i="12"/>
  <c r="AI9" i="12"/>
  <c r="AI18" i="12"/>
  <c r="AI25" i="12"/>
  <c r="AI28" i="12"/>
  <c r="AI36" i="12"/>
  <c r="AI39" i="12"/>
  <c r="AI44" i="12"/>
  <c r="AI46" i="12"/>
  <c r="AI55" i="12"/>
  <c r="AI57" i="12"/>
  <c r="AI66" i="12"/>
  <c r="AI73" i="12"/>
  <c r="AI76" i="12"/>
  <c r="AI84" i="12"/>
  <c r="AI87" i="12"/>
  <c r="AI92" i="12"/>
  <c r="AI94" i="12"/>
  <c r="AL7" i="12"/>
  <c r="AL31" i="12"/>
  <c r="AL37" i="12"/>
  <c r="AL67" i="12"/>
  <c r="AL85" i="12"/>
  <c r="AJ98" i="12"/>
  <c r="AL25" i="12"/>
  <c r="AL55" i="12"/>
  <c r="AL73" i="12"/>
  <c r="AL61" i="12"/>
  <c r="AL91" i="12"/>
  <c r="AK91" i="12"/>
  <c r="AK13" i="12"/>
  <c r="AK19" i="12"/>
  <c r="AK25" i="12"/>
  <c r="AK31" i="12"/>
  <c r="AK37" i="12"/>
  <c r="AK43" i="12"/>
  <c r="AK49" i="12"/>
  <c r="AK55" i="12"/>
  <c r="AK61" i="12"/>
  <c r="AK67" i="12"/>
  <c r="AK73" i="12"/>
  <c r="AK79" i="12"/>
  <c r="AK85" i="12"/>
  <c r="AL19" i="12"/>
  <c r="AG98" i="12"/>
  <c r="AK7" i="12"/>
  <c r="AL98" i="12" l="1"/>
  <c r="AI98" i="12"/>
  <c r="AK98" i="12"/>
  <c r="M60" i="7"/>
  <c r="M59" i="7"/>
  <c r="M58" i="7"/>
  <c r="M57" i="7"/>
  <c r="M69" i="7" s="1"/>
  <c r="M75" i="7" l="1"/>
  <c r="M76" i="7" s="1"/>
  <c r="AZ77" i="9" l="1"/>
  <c r="AZ72" i="9"/>
  <c r="AZ67" i="9"/>
  <c r="AZ62" i="9"/>
  <c r="AZ57" i="9"/>
  <c r="AZ52" i="9"/>
  <c r="AZ47" i="9"/>
  <c r="AZ42" i="9"/>
  <c r="AZ37" i="9"/>
  <c r="AZ32" i="9"/>
  <c r="AZ27" i="9"/>
  <c r="AZ22" i="9"/>
  <c r="AZ17" i="9"/>
  <c r="AZ12" i="9"/>
  <c r="AZ7" i="9"/>
  <c r="BD77" i="9"/>
  <c r="BD72" i="9"/>
  <c r="BD67" i="9"/>
  <c r="BD62" i="9"/>
  <c r="BD57" i="9"/>
  <c r="BD52" i="9"/>
  <c r="BD47" i="9"/>
  <c r="BD42" i="9"/>
  <c r="BD37" i="9"/>
  <c r="BD32" i="9"/>
  <c r="BD27" i="9"/>
  <c r="BD22" i="9"/>
  <c r="BD17" i="9"/>
  <c r="BD12" i="9"/>
  <c r="BD7" i="9"/>
  <c r="BB77" i="9"/>
  <c r="BB72" i="9"/>
  <c r="BB67" i="9"/>
  <c r="BB62" i="9"/>
  <c r="BB57" i="9"/>
  <c r="BB52" i="9"/>
  <c r="BB47" i="9"/>
  <c r="BB42" i="9"/>
  <c r="BB37" i="9"/>
  <c r="BB32" i="9"/>
  <c r="BB27" i="9"/>
  <c r="BB22" i="9"/>
  <c r="BB17" i="9"/>
  <c r="BB12" i="9"/>
  <c r="BB7" i="9"/>
  <c r="AJ80" i="9"/>
  <c r="AJ79" i="9"/>
  <c r="AJ78" i="9"/>
  <c r="AJ77" i="9"/>
  <c r="AJ75" i="9"/>
  <c r="AJ74" i="9"/>
  <c r="AJ73" i="9"/>
  <c r="AJ72" i="9"/>
  <c r="AJ70" i="9"/>
  <c r="AJ69" i="9"/>
  <c r="AJ68" i="9"/>
  <c r="AJ67" i="9"/>
  <c r="AG27" i="9"/>
  <c r="AK31" i="9" s="1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8" i="9"/>
  <c r="AH67" i="9"/>
  <c r="AH66" i="9"/>
  <c r="AH65" i="9"/>
  <c r="AH64" i="9"/>
  <c r="AH63" i="9"/>
  <c r="AH62" i="9"/>
  <c r="AH61" i="9"/>
  <c r="AH60" i="9"/>
  <c r="AH59" i="9"/>
  <c r="AH58" i="9"/>
  <c r="AH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6" i="9"/>
  <c r="AH5" i="9"/>
  <c r="AH4" i="9"/>
  <c r="AH3" i="9"/>
  <c r="AH2" i="9"/>
  <c r="AG50" i="9"/>
  <c r="AI50" i="9" s="1"/>
  <c r="AG79" i="9"/>
  <c r="AG75" i="9"/>
  <c r="AI75" i="9" s="1"/>
  <c r="AG70" i="9"/>
  <c r="AJ81" i="9"/>
  <c r="AJ76" i="9"/>
  <c r="AJ71" i="9"/>
  <c r="AJ66" i="9"/>
  <c r="AJ65" i="9"/>
  <c r="AJ64" i="9"/>
  <c r="AJ63" i="9"/>
  <c r="AJ62" i="9"/>
  <c r="AJ61" i="9"/>
  <c r="AJ60" i="9"/>
  <c r="AJ59" i="9"/>
  <c r="AJ58" i="9"/>
  <c r="AJ57" i="9"/>
  <c r="AJ56" i="9"/>
  <c r="AJ55" i="9"/>
  <c r="AJ54" i="9"/>
  <c r="AJ53" i="9"/>
  <c r="AJ52" i="9"/>
  <c r="AJ51" i="9"/>
  <c r="AJ50" i="9"/>
  <c r="AJ49" i="9"/>
  <c r="AJ48" i="9"/>
  <c r="AJ47" i="9"/>
  <c r="AJ46" i="9"/>
  <c r="AJ45" i="9"/>
  <c r="AJ44" i="9"/>
  <c r="AJ43" i="9"/>
  <c r="AJ42" i="9"/>
  <c r="AJ41" i="9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L26" i="9" s="1"/>
  <c r="AJ22" i="9"/>
  <c r="AJ21" i="9"/>
  <c r="AJ20" i="9"/>
  <c r="AJ19" i="9"/>
  <c r="AJ18" i="9"/>
  <c r="AJ17" i="9"/>
  <c r="AJ16" i="9"/>
  <c r="AJ15" i="9"/>
  <c r="AJ14" i="9"/>
  <c r="AJ13" i="9"/>
  <c r="AL16" i="9" s="1"/>
  <c r="AJ12" i="9"/>
  <c r="AJ11" i="9"/>
  <c r="AJ10" i="9"/>
  <c r="AJ9" i="9"/>
  <c r="AJ8" i="9"/>
  <c r="AJ7" i="9"/>
  <c r="AJ6" i="9"/>
  <c r="AJ2" i="9"/>
  <c r="AJ3" i="9"/>
  <c r="AJ4" i="9"/>
  <c r="BF27" i="9"/>
  <c r="AX27" i="9"/>
  <c r="AV27" i="9"/>
  <c r="AT27" i="9"/>
  <c r="AR27" i="9"/>
  <c r="AP27" i="9"/>
  <c r="AN27" i="9"/>
  <c r="AG26" i="9"/>
  <c r="AI26" i="9" s="1"/>
  <c r="AG25" i="9"/>
  <c r="AI25" i="9" s="1"/>
  <c r="AG24" i="9"/>
  <c r="AI24" i="9" s="1"/>
  <c r="AG23" i="9"/>
  <c r="AI23" i="9" s="1"/>
  <c r="BF22" i="9"/>
  <c r="AX22" i="9"/>
  <c r="AV22" i="9"/>
  <c r="AT22" i="9"/>
  <c r="AR22" i="9"/>
  <c r="AP22" i="9"/>
  <c r="AN22" i="9"/>
  <c r="AG22" i="9"/>
  <c r="AG21" i="9"/>
  <c r="AI21" i="9" s="1"/>
  <c r="AG20" i="9"/>
  <c r="AI20" i="9" s="1"/>
  <c r="AG19" i="9"/>
  <c r="AI19" i="9" s="1"/>
  <c r="AG18" i="9"/>
  <c r="AI18" i="9" s="1"/>
  <c r="BF17" i="9"/>
  <c r="AX17" i="9"/>
  <c r="AV17" i="9"/>
  <c r="AT17" i="9"/>
  <c r="AR17" i="9"/>
  <c r="AP17" i="9"/>
  <c r="AN17" i="9"/>
  <c r="AG17" i="9"/>
  <c r="AG16" i="9"/>
  <c r="AG15" i="9"/>
  <c r="AI15" i="9" s="1"/>
  <c r="AG14" i="9"/>
  <c r="AG13" i="9"/>
  <c r="AI13" i="9" s="1"/>
  <c r="BF12" i="9"/>
  <c r="AX12" i="9"/>
  <c r="AV12" i="9"/>
  <c r="AT12" i="9"/>
  <c r="AR12" i="9"/>
  <c r="AP12" i="9"/>
  <c r="AN12" i="9"/>
  <c r="AG12" i="9"/>
  <c r="AI79" i="9"/>
  <c r="AG65" i="9"/>
  <c r="AI65" i="9" s="1"/>
  <c r="AG60" i="9"/>
  <c r="AG55" i="9"/>
  <c r="AI55" i="9" s="1"/>
  <c r="AG45" i="9"/>
  <c r="AI45" i="9" s="1"/>
  <c r="AG40" i="9"/>
  <c r="AG35" i="9"/>
  <c r="AI35" i="9" s="1"/>
  <c r="AG30" i="9"/>
  <c r="AG10" i="9"/>
  <c r="AJ5" i="9"/>
  <c r="AG5" i="9"/>
  <c r="AA84" i="9"/>
  <c r="U84" i="9"/>
  <c r="L84" i="9"/>
  <c r="K84" i="9"/>
  <c r="E84" i="9"/>
  <c r="D84" i="9"/>
  <c r="AN81" i="9"/>
  <c r="AG81" i="9"/>
  <c r="AI81" i="9" s="1"/>
  <c r="AG80" i="9"/>
  <c r="AG78" i="9"/>
  <c r="BF77" i="9"/>
  <c r="AX77" i="9"/>
  <c r="AV77" i="9"/>
  <c r="AT77" i="9"/>
  <c r="AR77" i="9"/>
  <c r="AP77" i="9"/>
  <c r="AN77" i="9"/>
  <c r="AG77" i="9"/>
  <c r="AI77" i="9" s="1"/>
  <c r="AG76" i="9"/>
  <c r="AG74" i="9"/>
  <c r="AG73" i="9"/>
  <c r="BF72" i="9"/>
  <c r="AX72" i="9"/>
  <c r="AV72" i="9"/>
  <c r="AT72" i="9"/>
  <c r="AR72" i="9"/>
  <c r="AP72" i="9"/>
  <c r="AN72" i="9"/>
  <c r="AG72" i="9"/>
  <c r="AG71" i="9"/>
  <c r="AI71" i="9" s="1"/>
  <c r="AG69" i="9"/>
  <c r="AI69" i="9" s="1"/>
  <c r="AG68" i="9"/>
  <c r="BF67" i="9"/>
  <c r="AX67" i="9"/>
  <c r="AV67" i="9"/>
  <c r="AT67" i="9"/>
  <c r="AR67" i="9"/>
  <c r="AP67" i="9"/>
  <c r="AN67" i="9"/>
  <c r="AG67" i="9"/>
  <c r="AI67" i="9" s="1"/>
  <c r="AG66" i="9"/>
  <c r="AG64" i="9"/>
  <c r="AI64" i="9" s="1"/>
  <c r="AG63" i="9"/>
  <c r="AI63" i="9" s="1"/>
  <c r="BF62" i="9"/>
  <c r="AX62" i="9"/>
  <c r="AV62" i="9"/>
  <c r="AT62" i="9"/>
  <c r="AR62" i="9"/>
  <c r="AP62" i="9"/>
  <c r="AN62" i="9"/>
  <c r="AG62" i="9"/>
  <c r="AG61" i="9"/>
  <c r="AI61" i="9" s="1"/>
  <c r="AG59" i="9"/>
  <c r="AI59" i="9" s="1"/>
  <c r="AG58" i="9"/>
  <c r="BF57" i="9"/>
  <c r="AX57" i="9"/>
  <c r="AV57" i="9"/>
  <c r="AT57" i="9"/>
  <c r="AR57" i="9"/>
  <c r="AP57" i="9"/>
  <c r="AN57" i="9"/>
  <c r="AG57" i="9"/>
  <c r="AI57" i="9" s="1"/>
  <c r="AG56" i="9"/>
  <c r="AG54" i="9"/>
  <c r="AI54" i="9" s="1"/>
  <c r="AG53" i="9"/>
  <c r="AI53" i="9" s="1"/>
  <c r="BF52" i="9"/>
  <c r="AX52" i="9"/>
  <c r="AV52" i="9"/>
  <c r="AT52" i="9"/>
  <c r="AR52" i="9"/>
  <c r="AP52" i="9"/>
  <c r="AN52" i="9"/>
  <c r="AG52" i="9"/>
  <c r="AG51" i="9"/>
  <c r="AI51" i="9" s="1"/>
  <c r="AG49" i="9"/>
  <c r="AI49" i="9" s="1"/>
  <c r="AG48" i="9"/>
  <c r="BF47" i="9"/>
  <c r="AX47" i="9"/>
  <c r="AV47" i="9"/>
  <c r="AT47" i="9"/>
  <c r="AR47" i="9"/>
  <c r="AP47" i="9"/>
  <c r="AN47" i="9"/>
  <c r="AG47" i="9"/>
  <c r="AI47" i="9" s="1"/>
  <c r="AG46" i="9"/>
  <c r="AG44" i="9"/>
  <c r="AG43" i="9"/>
  <c r="AI43" i="9" s="1"/>
  <c r="BF42" i="9"/>
  <c r="AX42" i="9"/>
  <c r="AV42" i="9"/>
  <c r="AT42" i="9"/>
  <c r="AR42" i="9"/>
  <c r="AP42" i="9"/>
  <c r="AN42" i="9"/>
  <c r="AG42" i="9"/>
  <c r="AG41" i="9"/>
  <c r="AI41" i="9" s="1"/>
  <c r="AG39" i="9"/>
  <c r="AI39" i="9" s="1"/>
  <c r="AG38" i="9"/>
  <c r="BF37" i="9"/>
  <c r="AX37" i="9"/>
  <c r="AV37" i="9"/>
  <c r="AT37" i="9"/>
  <c r="AR37" i="9"/>
  <c r="AP37" i="9"/>
  <c r="AN37" i="9"/>
  <c r="AG37" i="9"/>
  <c r="AI37" i="9" s="1"/>
  <c r="AG36" i="9"/>
  <c r="AG34" i="9"/>
  <c r="AI34" i="9" s="1"/>
  <c r="AG33" i="9"/>
  <c r="BF32" i="9"/>
  <c r="AX32" i="9"/>
  <c r="AV32" i="9"/>
  <c r="AT32" i="9"/>
  <c r="AR32" i="9"/>
  <c r="AP32" i="9"/>
  <c r="AN32" i="9"/>
  <c r="AG32" i="9"/>
  <c r="AG31" i="9"/>
  <c r="AI31" i="9" s="1"/>
  <c r="AG29" i="9"/>
  <c r="AG28" i="9"/>
  <c r="AG11" i="9"/>
  <c r="AG9" i="9"/>
  <c r="AG8" i="9"/>
  <c r="BF7" i="9"/>
  <c r="AX7" i="9"/>
  <c r="AV7" i="9"/>
  <c r="AT7" i="9"/>
  <c r="AR7" i="9"/>
  <c r="AP7" i="9"/>
  <c r="AN7" i="9"/>
  <c r="AH7" i="9"/>
  <c r="AG7" i="9"/>
  <c r="AG6" i="9"/>
  <c r="AG4" i="9"/>
  <c r="AG3" i="9"/>
  <c r="AG2" i="9"/>
  <c r="G13" i="2"/>
  <c r="G15" i="2"/>
  <c r="G14" i="2"/>
  <c r="F41" i="8"/>
  <c r="F31" i="8"/>
  <c r="H5" i="2"/>
  <c r="H17" i="2" s="1"/>
  <c r="AH10" i="2"/>
  <c r="I11" i="2"/>
  <c r="H15" i="2"/>
  <c r="F15" i="2"/>
  <c r="G9" i="2"/>
  <c r="G10" i="2"/>
  <c r="H8" i="2"/>
  <c r="X18" i="6"/>
  <c r="X15" i="6"/>
  <c r="X14" i="6"/>
  <c r="X11" i="6"/>
  <c r="J8" i="6"/>
  <c r="U35" i="6"/>
  <c r="T35" i="6"/>
  <c r="U34" i="6"/>
  <c r="T34" i="6"/>
  <c r="U33" i="6"/>
  <c r="T33" i="6"/>
  <c r="U32" i="6"/>
  <c r="T32" i="6"/>
  <c r="U31" i="6"/>
  <c r="T31" i="6"/>
  <c r="U30" i="6"/>
  <c r="T30" i="6"/>
  <c r="U29" i="6"/>
  <c r="T29" i="6"/>
  <c r="U28" i="6"/>
  <c r="T28" i="6"/>
  <c r="U27" i="6"/>
  <c r="T27" i="6"/>
  <c r="U26" i="6"/>
  <c r="T26" i="6"/>
  <c r="U25" i="6"/>
  <c r="T25" i="6"/>
  <c r="U24" i="6"/>
  <c r="T24" i="6"/>
  <c r="U23" i="6"/>
  <c r="T23" i="6"/>
  <c r="U22" i="6"/>
  <c r="T22" i="6"/>
  <c r="U21" i="6"/>
  <c r="T21" i="6"/>
  <c r="U20" i="6"/>
  <c r="T20" i="6"/>
  <c r="U19" i="6"/>
  <c r="T19" i="6"/>
  <c r="U18" i="6"/>
  <c r="T18" i="6"/>
  <c r="U17" i="6"/>
  <c r="T17" i="6"/>
  <c r="U16" i="6"/>
  <c r="T16" i="6"/>
  <c r="U15" i="6"/>
  <c r="T15" i="6"/>
  <c r="U14" i="6"/>
  <c r="T14" i="6"/>
  <c r="U13" i="6"/>
  <c r="T13" i="6"/>
  <c r="U12" i="6"/>
  <c r="T12" i="6"/>
  <c r="U11" i="6"/>
  <c r="T11" i="6"/>
  <c r="U10" i="6"/>
  <c r="T10" i="6"/>
  <c r="U9" i="6"/>
  <c r="T9" i="6"/>
  <c r="U7" i="6"/>
  <c r="T7" i="6"/>
  <c r="U6" i="6"/>
  <c r="T6" i="6"/>
  <c r="U5" i="6"/>
  <c r="T5" i="6"/>
  <c r="U4" i="6"/>
  <c r="T4" i="6"/>
  <c r="P8" i="6"/>
  <c r="U8" i="6" s="1"/>
  <c r="O8" i="6"/>
  <c r="T8" i="6" s="1"/>
  <c r="Q38" i="6"/>
  <c r="J38" i="6"/>
  <c r="U3" i="6"/>
  <c r="O38" i="6"/>
  <c r="L38" i="6"/>
  <c r="G38" i="6"/>
  <c r="C38" i="6"/>
  <c r="AI56" i="9" l="1"/>
  <c r="AI76" i="9"/>
  <c r="AI40" i="9"/>
  <c r="AI60" i="9"/>
  <c r="AI16" i="9"/>
  <c r="AI70" i="9"/>
  <c r="AI46" i="9"/>
  <c r="AI66" i="9"/>
  <c r="AI80" i="9"/>
  <c r="AI30" i="9"/>
  <c r="AI14" i="9"/>
  <c r="AI78" i="9"/>
  <c r="AI74" i="9"/>
  <c r="AI44" i="9"/>
  <c r="AL21" i="9"/>
  <c r="AK21" i="9"/>
  <c r="AI27" i="9"/>
  <c r="AK16" i="9"/>
  <c r="AK26" i="9"/>
  <c r="AI10" i="9"/>
  <c r="AI9" i="9"/>
  <c r="AI6" i="9"/>
  <c r="AI5" i="9"/>
  <c r="AI3" i="9"/>
  <c r="AI22" i="9"/>
  <c r="AI17" i="9"/>
  <c r="AI12" i="9"/>
  <c r="AH83" i="9"/>
  <c r="AI4" i="9"/>
  <c r="AI8" i="9"/>
  <c r="AI11" i="9"/>
  <c r="AI29" i="9"/>
  <c r="AI33" i="9"/>
  <c r="AI36" i="9"/>
  <c r="AJ83" i="9"/>
  <c r="AI73" i="9"/>
  <c r="AG83" i="9"/>
  <c r="AK11" i="9"/>
  <c r="AK36" i="9"/>
  <c r="AK46" i="9"/>
  <c r="AK56" i="9"/>
  <c r="AK66" i="9"/>
  <c r="AK76" i="9"/>
  <c r="AL31" i="9"/>
  <c r="AL41" i="9"/>
  <c r="AL51" i="9"/>
  <c r="AL61" i="9"/>
  <c r="AL71" i="9"/>
  <c r="AL11" i="9"/>
  <c r="AL36" i="9"/>
  <c r="AL46" i="9"/>
  <c r="AL56" i="9"/>
  <c r="AL66" i="9"/>
  <c r="AL76" i="9"/>
  <c r="AK41" i="9"/>
  <c r="AK51" i="9"/>
  <c r="AK61" i="9"/>
  <c r="AK71" i="9"/>
  <c r="AI2" i="9"/>
  <c r="AK6" i="9"/>
  <c r="AI7" i="9"/>
  <c r="AI28" i="9"/>
  <c r="AI32" i="9"/>
  <c r="AI38" i="9"/>
  <c r="AI42" i="9"/>
  <c r="AI48" i="9"/>
  <c r="AI52" i="9"/>
  <c r="AI58" i="9"/>
  <c r="AI62" i="9"/>
  <c r="AI68" i="9"/>
  <c r="AI72" i="9"/>
  <c r="AL6" i="9"/>
  <c r="T3" i="6"/>
  <c r="T38" i="6" l="1"/>
  <c r="V16" i="6"/>
  <c r="AK83" i="9"/>
  <c r="AI83" i="9"/>
  <c r="AL83" i="9"/>
  <c r="F13" i="3"/>
  <c r="F18" i="3" s="1"/>
  <c r="E18" i="3"/>
  <c r="E17" i="3"/>
  <c r="I13" i="2"/>
  <c r="I10" i="2"/>
  <c r="I9" i="2"/>
  <c r="G8" i="2"/>
  <c r="F8" i="2"/>
  <c r="I8" i="2" s="1"/>
  <c r="G3" i="2"/>
  <c r="Y47" i="5"/>
  <c r="AC4" i="2"/>
  <c r="AC5" i="2" s="1"/>
  <c r="AC6" i="2" s="1"/>
  <c r="AC7" i="2" s="1"/>
  <c r="AC8" i="2" s="1"/>
  <c r="AC9" i="2" s="1"/>
  <c r="AC10" i="2" s="1"/>
  <c r="F17" i="2"/>
  <c r="I15" i="2"/>
  <c r="I14" i="2"/>
  <c r="I12" i="2"/>
  <c r="I7" i="2"/>
  <c r="I6" i="2"/>
  <c r="I5" i="2"/>
  <c r="I4" i="2"/>
  <c r="I3" i="2"/>
  <c r="AC14" i="2" l="1"/>
  <c r="AC15" i="2" s="1"/>
  <c r="AC11" i="2"/>
  <c r="J18" i="3"/>
  <c r="F17" i="3"/>
  <c r="J17" i="3" s="1"/>
  <c r="G17" i="2"/>
  <c r="I17" i="2"/>
  <c r="S3" i="2"/>
  <c r="R3" i="2"/>
  <c r="Q3" i="2"/>
  <c r="AA14" i="5"/>
  <c r="Y14" i="5"/>
  <c r="AA10" i="5"/>
  <c r="Y10" i="5"/>
  <c r="AA6" i="5"/>
  <c r="Y6" i="5"/>
  <c r="AQ46" i="5"/>
  <c r="AO46" i="5"/>
  <c r="AM46" i="5"/>
  <c r="AK46" i="5"/>
  <c r="AI46" i="5"/>
  <c r="AG46" i="5"/>
  <c r="AE46" i="5"/>
  <c r="AA50" i="5"/>
  <c r="AA46" i="5"/>
  <c r="AA48" i="5"/>
  <c r="AA47" i="5"/>
  <c r="AA43" i="5"/>
  <c r="AA39" i="5"/>
  <c r="AA35" i="5"/>
  <c r="AA31" i="5"/>
  <c r="AA27" i="5"/>
  <c r="AA23" i="5"/>
  <c r="AA19" i="5"/>
  <c r="AA15" i="5"/>
  <c r="AA11" i="5"/>
  <c r="AA7" i="5"/>
  <c r="AA3" i="5"/>
  <c r="Y52" i="5"/>
  <c r="Y51" i="5"/>
  <c r="Y50" i="5"/>
  <c r="Y49" i="5"/>
  <c r="Y48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3" i="5"/>
  <c r="Z13" i="5" s="1"/>
  <c r="Y12" i="5"/>
  <c r="Y11" i="5"/>
  <c r="Y9" i="5"/>
  <c r="Y8" i="5"/>
  <c r="Y7" i="5"/>
  <c r="Y5" i="5"/>
  <c r="Z5" i="5" s="1"/>
  <c r="Y4" i="5"/>
  <c r="Y3" i="5"/>
  <c r="Y2" i="5"/>
  <c r="X52" i="5"/>
  <c r="Z52" i="5" s="1"/>
  <c r="X51" i="5"/>
  <c r="X50" i="5"/>
  <c r="X49" i="5"/>
  <c r="X48" i="5"/>
  <c r="X47" i="5"/>
  <c r="X46" i="5"/>
  <c r="X45" i="5"/>
  <c r="X44" i="5"/>
  <c r="X43" i="5"/>
  <c r="X42" i="5"/>
  <c r="Z42" i="5" s="1"/>
  <c r="X41" i="5"/>
  <c r="X40" i="5"/>
  <c r="Z40" i="5" s="1"/>
  <c r="X39" i="5"/>
  <c r="X38" i="5"/>
  <c r="AB41" i="5" s="1"/>
  <c r="X37" i="5"/>
  <c r="X36" i="5"/>
  <c r="X35" i="5"/>
  <c r="X34" i="5"/>
  <c r="X33" i="5"/>
  <c r="X32" i="5"/>
  <c r="Z32" i="5" s="1"/>
  <c r="X31" i="5"/>
  <c r="X30" i="5"/>
  <c r="AB33" i="5" s="1"/>
  <c r="X29" i="5"/>
  <c r="X28" i="5"/>
  <c r="X27" i="5"/>
  <c r="X26" i="5"/>
  <c r="Z26" i="5" s="1"/>
  <c r="X25" i="5"/>
  <c r="X24" i="5"/>
  <c r="Z24" i="5" s="1"/>
  <c r="X23" i="5"/>
  <c r="X22" i="5"/>
  <c r="X21" i="5"/>
  <c r="X20" i="5"/>
  <c r="X19" i="5"/>
  <c r="X18" i="5"/>
  <c r="X17" i="5"/>
  <c r="X16" i="5"/>
  <c r="Z16" i="5" s="1"/>
  <c r="X15" i="5"/>
  <c r="X14" i="5"/>
  <c r="AB17" i="5" s="1"/>
  <c r="X13" i="5"/>
  <c r="X12" i="5"/>
  <c r="Z12" i="5" s="1"/>
  <c r="X11" i="5"/>
  <c r="X10" i="5"/>
  <c r="X9" i="5"/>
  <c r="X8" i="5"/>
  <c r="X7" i="5"/>
  <c r="X6" i="5"/>
  <c r="X5" i="5"/>
  <c r="X4" i="5"/>
  <c r="Z4" i="5" s="1"/>
  <c r="X3" i="5"/>
  <c r="AA49" i="5"/>
  <c r="AC49" i="5" s="1"/>
  <c r="U56" i="5"/>
  <c r="Q56" i="5"/>
  <c r="J56" i="5"/>
  <c r="I56" i="5"/>
  <c r="E56" i="5"/>
  <c r="D56" i="5"/>
  <c r="AE53" i="5"/>
  <c r="AA53" i="5"/>
  <c r="X53" i="5"/>
  <c r="Z53" i="5" s="1"/>
  <c r="AA52" i="5"/>
  <c r="AQ50" i="5"/>
  <c r="AO50" i="5"/>
  <c r="AM50" i="5"/>
  <c r="AK50" i="5"/>
  <c r="AI50" i="5"/>
  <c r="AG50" i="5"/>
  <c r="AE50" i="5"/>
  <c r="AA51" i="5"/>
  <c r="AA45" i="5"/>
  <c r="AA44" i="5"/>
  <c r="Z44" i="5"/>
  <c r="AQ42" i="5"/>
  <c r="AO42" i="5"/>
  <c r="AM42" i="5"/>
  <c r="AK42" i="5"/>
  <c r="AI42" i="5"/>
  <c r="AG42" i="5"/>
  <c r="AE42" i="5"/>
  <c r="AA42" i="5"/>
  <c r="AA41" i="5"/>
  <c r="AA40" i="5"/>
  <c r="AQ38" i="5"/>
  <c r="AO38" i="5"/>
  <c r="AM38" i="5"/>
  <c r="AK38" i="5"/>
  <c r="AI38" i="5"/>
  <c r="AG38" i="5"/>
  <c r="AE38" i="5"/>
  <c r="AA38" i="5"/>
  <c r="AA37" i="5"/>
  <c r="AA36" i="5"/>
  <c r="AQ34" i="5"/>
  <c r="AO34" i="5"/>
  <c r="AM34" i="5"/>
  <c r="AK34" i="5"/>
  <c r="AI34" i="5"/>
  <c r="AG34" i="5"/>
  <c r="AE34" i="5"/>
  <c r="AA34" i="5"/>
  <c r="AA33" i="5"/>
  <c r="Z33" i="5"/>
  <c r="AA32" i="5"/>
  <c r="AQ30" i="5"/>
  <c r="AO30" i="5"/>
  <c r="AM30" i="5"/>
  <c r="AK30" i="5"/>
  <c r="AI30" i="5"/>
  <c r="AG30" i="5"/>
  <c r="AE30" i="5"/>
  <c r="AA30" i="5"/>
  <c r="AA29" i="5"/>
  <c r="AA28" i="5"/>
  <c r="AQ26" i="5"/>
  <c r="AO26" i="5"/>
  <c r="AM26" i="5"/>
  <c r="AK26" i="5"/>
  <c r="AI26" i="5"/>
  <c r="AG26" i="5"/>
  <c r="AE26" i="5"/>
  <c r="AA26" i="5"/>
  <c r="AA25" i="5"/>
  <c r="AA24" i="5"/>
  <c r="AQ22" i="5"/>
  <c r="AO22" i="5"/>
  <c r="AM22" i="5"/>
  <c r="AK22" i="5"/>
  <c r="AI22" i="5"/>
  <c r="AG22" i="5"/>
  <c r="AE22" i="5"/>
  <c r="AA22" i="5"/>
  <c r="AA21" i="5"/>
  <c r="AA20" i="5"/>
  <c r="Z20" i="5"/>
  <c r="AQ18" i="5"/>
  <c r="AO18" i="5"/>
  <c r="AM18" i="5"/>
  <c r="AK18" i="5"/>
  <c r="AI18" i="5"/>
  <c r="AG18" i="5"/>
  <c r="AE18" i="5"/>
  <c r="AA18" i="5"/>
  <c r="AA17" i="5"/>
  <c r="AA16" i="5"/>
  <c r="AQ14" i="5"/>
  <c r="AO14" i="5"/>
  <c r="AM14" i="5"/>
  <c r="AK14" i="5"/>
  <c r="AI14" i="5"/>
  <c r="AG14" i="5"/>
  <c r="AE14" i="5"/>
  <c r="AA13" i="5"/>
  <c r="AA12" i="5"/>
  <c r="AQ10" i="5"/>
  <c r="AO10" i="5"/>
  <c r="AM10" i="5"/>
  <c r="AK10" i="5"/>
  <c r="AI10" i="5"/>
  <c r="AG10" i="5"/>
  <c r="AE10" i="5"/>
  <c r="AA9" i="5"/>
  <c r="Z9" i="5"/>
  <c r="AA8" i="5"/>
  <c r="Z8" i="5"/>
  <c r="AQ6" i="5"/>
  <c r="AO6" i="5"/>
  <c r="AM6" i="5"/>
  <c r="AK6" i="5"/>
  <c r="AI6" i="5"/>
  <c r="AG6" i="5"/>
  <c r="AE6" i="5"/>
  <c r="AA5" i="5"/>
  <c r="AA4" i="5"/>
  <c r="AA2" i="5"/>
  <c r="X2" i="5"/>
  <c r="X38" i="4"/>
  <c r="Z38" i="4" s="1"/>
  <c r="Y33" i="4"/>
  <c r="X21" i="4"/>
  <c r="Y18" i="4"/>
  <c r="Y15" i="4"/>
  <c r="Y9" i="4"/>
  <c r="Y6" i="4"/>
  <c r="AM35" i="4"/>
  <c r="AM32" i="4"/>
  <c r="AM29" i="4"/>
  <c r="AM26" i="4"/>
  <c r="AM23" i="4"/>
  <c r="AM20" i="4"/>
  <c r="AM17" i="4"/>
  <c r="AM14" i="4"/>
  <c r="AM11" i="4"/>
  <c r="AM8" i="4"/>
  <c r="AM5" i="4"/>
  <c r="AA3" i="4"/>
  <c r="Y3" i="4"/>
  <c r="AQ35" i="4"/>
  <c r="AQ32" i="4"/>
  <c r="AQ29" i="4"/>
  <c r="AQ26" i="4"/>
  <c r="AQ23" i="4"/>
  <c r="AQ20" i="4"/>
  <c r="AQ17" i="4"/>
  <c r="AQ14" i="4"/>
  <c r="AQ11" i="4"/>
  <c r="AQ8" i="4"/>
  <c r="AQ5" i="4"/>
  <c r="AO35" i="4"/>
  <c r="AO32" i="4"/>
  <c r="AO29" i="4"/>
  <c r="AO26" i="4"/>
  <c r="AO23" i="4"/>
  <c r="AO20" i="4"/>
  <c r="AO17" i="4"/>
  <c r="AO14" i="4"/>
  <c r="AO11" i="4"/>
  <c r="AO8" i="4"/>
  <c r="AO5" i="4"/>
  <c r="AK35" i="4"/>
  <c r="AK32" i="4"/>
  <c r="AK29" i="4"/>
  <c r="AK26" i="4"/>
  <c r="AK23" i="4"/>
  <c r="AK20" i="4"/>
  <c r="AK17" i="4"/>
  <c r="AK14" i="4"/>
  <c r="AK11" i="4"/>
  <c r="AK8" i="4"/>
  <c r="AK5" i="4"/>
  <c r="AI35" i="4"/>
  <c r="AI32" i="4"/>
  <c r="AI29" i="4"/>
  <c r="AI26" i="4"/>
  <c r="AI23" i="4"/>
  <c r="AI20" i="4"/>
  <c r="AI17" i="4"/>
  <c r="AI14" i="4"/>
  <c r="AI11" i="4"/>
  <c r="AI8" i="4"/>
  <c r="AI5" i="4"/>
  <c r="AG35" i="4"/>
  <c r="AG32" i="4"/>
  <c r="AG29" i="4"/>
  <c r="AG26" i="4"/>
  <c r="AG23" i="4"/>
  <c r="AG20" i="4"/>
  <c r="AG17" i="4"/>
  <c r="AG14" i="4"/>
  <c r="AG11" i="4"/>
  <c r="AG8" i="4"/>
  <c r="AG5" i="4"/>
  <c r="AE38" i="4"/>
  <c r="AE35" i="4"/>
  <c r="AE32" i="4"/>
  <c r="AE29" i="4"/>
  <c r="AE26" i="4"/>
  <c r="AE23" i="4"/>
  <c r="AE20" i="4"/>
  <c r="AE17" i="4"/>
  <c r="AE14" i="4"/>
  <c r="AE11" i="4"/>
  <c r="AE8" i="4"/>
  <c r="AE5" i="4"/>
  <c r="U41" i="4"/>
  <c r="I41" i="4"/>
  <c r="D41" i="4"/>
  <c r="AA38" i="4"/>
  <c r="AA37" i="4"/>
  <c r="Y37" i="4"/>
  <c r="X37" i="4"/>
  <c r="AA36" i="4"/>
  <c r="Y36" i="4"/>
  <c r="X36" i="4"/>
  <c r="AA35" i="4"/>
  <c r="Y35" i="4"/>
  <c r="X35" i="4"/>
  <c r="AA34" i="4"/>
  <c r="Y34" i="4"/>
  <c r="X34" i="4"/>
  <c r="AA33" i="4"/>
  <c r="X33" i="4"/>
  <c r="AA32" i="4"/>
  <c r="Y32" i="4"/>
  <c r="X32" i="4"/>
  <c r="AA31" i="4"/>
  <c r="Y31" i="4"/>
  <c r="X31" i="4"/>
  <c r="AA30" i="4"/>
  <c r="Y30" i="4"/>
  <c r="X30" i="4"/>
  <c r="AA29" i="4"/>
  <c r="Y29" i="4"/>
  <c r="X29" i="4"/>
  <c r="AA28" i="4"/>
  <c r="Y28" i="4"/>
  <c r="X28" i="4"/>
  <c r="AA27" i="4"/>
  <c r="X27" i="4"/>
  <c r="AA26" i="4"/>
  <c r="Y26" i="4"/>
  <c r="X26" i="4"/>
  <c r="AA25" i="4"/>
  <c r="Y25" i="4"/>
  <c r="X25" i="4"/>
  <c r="AA24" i="4"/>
  <c r="Y24" i="4"/>
  <c r="AA23" i="4"/>
  <c r="Y23" i="4"/>
  <c r="X23" i="4"/>
  <c r="AA22" i="4"/>
  <c r="Y22" i="4"/>
  <c r="X22" i="4"/>
  <c r="AA21" i="4"/>
  <c r="Y21" i="4"/>
  <c r="AA20" i="4"/>
  <c r="Y20" i="4"/>
  <c r="X20" i="4"/>
  <c r="AA19" i="4"/>
  <c r="Y19" i="4"/>
  <c r="X19" i="4"/>
  <c r="AA18" i="4"/>
  <c r="X18" i="4"/>
  <c r="AA17" i="4"/>
  <c r="Y17" i="4"/>
  <c r="X17" i="4"/>
  <c r="AA16" i="4"/>
  <c r="Y16" i="4"/>
  <c r="X16" i="4"/>
  <c r="AA15" i="4"/>
  <c r="X15" i="4"/>
  <c r="AA14" i="4"/>
  <c r="Y14" i="4"/>
  <c r="Y40" i="4" s="1"/>
  <c r="X14" i="4"/>
  <c r="AA13" i="4"/>
  <c r="Y13" i="4"/>
  <c r="X13" i="4"/>
  <c r="AA12" i="4"/>
  <c r="Y12" i="4"/>
  <c r="AA11" i="4"/>
  <c r="X11" i="4"/>
  <c r="AA10" i="4"/>
  <c r="X10" i="4"/>
  <c r="Z10" i="4" s="1"/>
  <c r="AA9" i="4"/>
  <c r="X9" i="4"/>
  <c r="AA8" i="4"/>
  <c r="X8" i="4"/>
  <c r="AA7" i="4"/>
  <c r="X7" i="4"/>
  <c r="Z7" i="4" s="1"/>
  <c r="AA6" i="4"/>
  <c r="Q41" i="4"/>
  <c r="J41" i="4"/>
  <c r="AA5" i="4"/>
  <c r="E41" i="4"/>
  <c r="AA4" i="4"/>
  <c r="X4" i="4"/>
  <c r="Z4" i="4" s="1"/>
  <c r="X3" i="4"/>
  <c r="AA2" i="4"/>
  <c r="X2" i="4"/>
  <c r="Z50" i="1"/>
  <c r="Y50" i="1"/>
  <c r="T53" i="1"/>
  <c r="I53" i="1"/>
  <c r="D53" i="1"/>
  <c r="X42" i="1"/>
  <c r="X44" i="1"/>
  <c r="X43" i="1"/>
  <c r="X40" i="1"/>
  <c r="AD50" i="1"/>
  <c r="AN47" i="1"/>
  <c r="AL47" i="1"/>
  <c r="AJ47" i="1"/>
  <c r="AH47" i="1"/>
  <c r="AF47" i="1"/>
  <c r="AD47" i="1"/>
  <c r="AN44" i="1"/>
  <c r="AL44" i="1"/>
  <c r="AJ44" i="1"/>
  <c r="AH44" i="1"/>
  <c r="AF44" i="1"/>
  <c r="AD44" i="1"/>
  <c r="Z45" i="1"/>
  <c r="X45" i="1"/>
  <c r="W45" i="1"/>
  <c r="Z48" i="1"/>
  <c r="X48" i="1"/>
  <c r="W48" i="1"/>
  <c r="Z47" i="1"/>
  <c r="X47" i="1"/>
  <c r="W47" i="1"/>
  <c r="Z44" i="1"/>
  <c r="W44" i="1"/>
  <c r="Z49" i="1"/>
  <c r="X49" i="1"/>
  <c r="W49" i="1"/>
  <c r="Z46" i="1"/>
  <c r="X46" i="1"/>
  <c r="W46" i="1"/>
  <c r="AN41" i="1"/>
  <c r="AL41" i="1"/>
  <c r="AJ41" i="1"/>
  <c r="AH41" i="1"/>
  <c r="AF41" i="1"/>
  <c r="AD41" i="1"/>
  <c r="AN38" i="1"/>
  <c r="AL38" i="1"/>
  <c r="AJ38" i="1"/>
  <c r="AH38" i="1"/>
  <c r="AF38" i="1"/>
  <c r="AD38" i="1"/>
  <c r="AN35" i="1"/>
  <c r="AL35" i="1"/>
  <c r="AJ35" i="1"/>
  <c r="AH35" i="1"/>
  <c r="AF35" i="1"/>
  <c r="AD35" i="1"/>
  <c r="X27" i="1"/>
  <c r="X41" i="1"/>
  <c r="X39" i="1"/>
  <c r="X38" i="1"/>
  <c r="X37" i="1"/>
  <c r="X36" i="1"/>
  <c r="X35" i="1"/>
  <c r="X34" i="1"/>
  <c r="X33" i="1"/>
  <c r="X32" i="1"/>
  <c r="X31" i="1"/>
  <c r="X30" i="1"/>
  <c r="X29" i="1"/>
  <c r="X28" i="1"/>
  <c r="AN32" i="1"/>
  <c r="AL32" i="1"/>
  <c r="AJ32" i="1"/>
  <c r="AH32" i="1"/>
  <c r="AF32" i="1"/>
  <c r="AD32" i="1"/>
  <c r="AN29" i="1"/>
  <c r="AL29" i="1"/>
  <c r="AJ29" i="1"/>
  <c r="AH29" i="1"/>
  <c r="AF29" i="1"/>
  <c r="AD29" i="1"/>
  <c r="AN26" i="1"/>
  <c r="AL26" i="1"/>
  <c r="AJ26" i="1"/>
  <c r="AH26" i="1"/>
  <c r="AF26" i="1"/>
  <c r="AD26" i="1"/>
  <c r="X26" i="1"/>
  <c r="X25" i="1"/>
  <c r="X24" i="1"/>
  <c r="AN23" i="1"/>
  <c r="AL23" i="1"/>
  <c r="AJ23" i="1"/>
  <c r="AH23" i="1"/>
  <c r="AF23" i="1"/>
  <c r="AD23" i="1"/>
  <c r="Z23" i="1"/>
  <c r="W23" i="1"/>
  <c r="Y23" i="1" s="1"/>
  <c r="Z24" i="1"/>
  <c r="W24" i="1"/>
  <c r="Z25" i="1"/>
  <c r="W25" i="1"/>
  <c r="Y25" i="1" s="1"/>
  <c r="Z26" i="1"/>
  <c r="W26" i="1"/>
  <c r="Y26" i="1" s="1"/>
  <c r="Z27" i="1"/>
  <c r="W27" i="1"/>
  <c r="Z28" i="1"/>
  <c r="W28" i="1"/>
  <c r="Z29" i="1"/>
  <c r="W29" i="1"/>
  <c r="Z30" i="1"/>
  <c r="W30" i="1"/>
  <c r="Z31" i="1"/>
  <c r="W31" i="1"/>
  <c r="Y31" i="1" s="1"/>
  <c r="Z32" i="1"/>
  <c r="W32" i="1"/>
  <c r="Z33" i="1"/>
  <c r="W33" i="1"/>
  <c r="Z34" i="1"/>
  <c r="W34" i="1"/>
  <c r="Z35" i="1"/>
  <c r="W35" i="1"/>
  <c r="Y35" i="1" s="1"/>
  <c r="Z36" i="1"/>
  <c r="W36" i="1"/>
  <c r="Y36" i="1" s="1"/>
  <c r="Z37" i="1"/>
  <c r="W37" i="1"/>
  <c r="Z38" i="1"/>
  <c r="W38" i="1"/>
  <c r="Y38" i="1" s="1"/>
  <c r="Z39" i="1"/>
  <c r="W39" i="1"/>
  <c r="Y39" i="1" s="1"/>
  <c r="Z40" i="1"/>
  <c r="W40" i="1"/>
  <c r="Y40" i="1" s="1"/>
  <c r="Z41" i="1"/>
  <c r="W41" i="1"/>
  <c r="Y41" i="1" s="1"/>
  <c r="Z42" i="1"/>
  <c r="W42" i="1"/>
  <c r="Y42" i="1" s="1"/>
  <c r="Z43" i="1"/>
  <c r="W43" i="1"/>
  <c r="Y43" i="1" s="1"/>
  <c r="X21" i="1"/>
  <c r="Y37" i="1" l="1"/>
  <c r="Y33" i="1"/>
  <c r="Y29" i="1"/>
  <c r="AC45" i="5"/>
  <c r="AB31" i="1"/>
  <c r="AB25" i="1"/>
  <c r="Z3" i="4"/>
  <c r="AC13" i="5"/>
  <c r="J20" i="3"/>
  <c r="AB49" i="5"/>
  <c r="AB37" i="5"/>
  <c r="Z46" i="5"/>
  <c r="Z48" i="5"/>
  <c r="Z50" i="5"/>
  <c r="AC9" i="5"/>
  <c r="Z36" i="5"/>
  <c r="Z31" i="5"/>
  <c r="Z47" i="5"/>
  <c r="Z43" i="5"/>
  <c r="AC41" i="5"/>
  <c r="Z39" i="5"/>
  <c r="X55" i="5"/>
  <c r="Z35" i="5"/>
  <c r="AC33" i="5"/>
  <c r="AC29" i="5"/>
  <c r="Z27" i="5"/>
  <c r="AB25" i="5"/>
  <c r="AC25" i="5"/>
  <c r="Z23" i="5"/>
  <c r="AC21" i="5"/>
  <c r="Z18" i="5"/>
  <c r="Z15" i="5"/>
  <c r="Z11" i="5"/>
  <c r="Z7" i="5"/>
  <c r="Z19" i="5"/>
  <c r="Z3" i="5"/>
  <c r="Y55" i="5"/>
  <c r="AC5" i="5"/>
  <c r="Z29" i="5"/>
  <c r="AC37" i="5"/>
  <c r="Z28" i="5"/>
  <c r="AB9" i="5"/>
  <c r="AB13" i="5"/>
  <c r="Z17" i="5"/>
  <c r="Z21" i="5"/>
  <c r="Z25" i="5"/>
  <c r="Z37" i="5"/>
  <c r="Z41" i="5"/>
  <c r="Z45" i="5"/>
  <c r="AC17" i="5"/>
  <c r="Z49" i="5"/>
  <c r="AB5" i="5"/>
  <c r="Z10" i="5"/>
  <c r="AB21" i="5"/>
  <c r="Z22" i="5"/>
  <c r="AB29" i="5"/>
  <c r="Z30" i="5"/>
  <c r="Z34" i="5"/>
  <c r="Z38" i="5"/>
  <c r="AB45" i="5"/>
  <c r="Z51" i="5"/>
  <c r="AA55" i="5"/>
  <c r="Z2" i="5"/>
  <c r="Z6" i="5"/>
  <c r="Z14" i="5"/>
  <c r="AB37" i="4"/>
  <c r="AB31" i="4"/>
  <c r="AC4" i="4"/>
  <c r="AB4" i="4"/>
  <c r="AC31" i="4"/>
  <c r="AC7" i="4"/>
  <c r="AB10" i="4"/>
  <c r="Z9" i="4"/>
  <c r="AB13" i="4"/>
  <c r="Z12" i="4"/>
  <c r="AB16" i="4"/>
  <c r="AC16" i="4"/>
  <c r="Z16" i="4"/>
  <c r="Z18" i="4"/>
  <c r="AB22" i="4"/>
  <c r="AC22" i="4"/>
  <c r="Z22" i="4"/>
  <c r="AB28" i="4"/>
  <c r="AC28" i="4"/>
  <c r="Z28" i="4"/>
  <c r="Z30" i="4"/>
  <c r="AB34" i="4"/>
  <c r="AC34" i="4"/>
  <c r="Z34" i="4"/>
  <c r="Z36" i="4"/>
  <c r="AA40" i="4"/>
  <c r="AB19" i="4"/>
  <c r="AC19" i="4"/>
  <c r="AC37" i="4"/>
  <c r="AC10" i="4"/>
  <c r="AC13" i="4"/>
  <c r="AB25" i="4"/>
  <c r="AC25" i="4"/>
  <c r="Z13" i="4"/>
  <c r="Z15" i="4"/>
  <c r="Z19" i="4"/>
  <c r="Z21" i="4"/>
  <c r="Z25" i="4"/>
  <c r="Z27" i="4"/>
  <c r="X5" i="4"/>
  <c r="Z5" i="4" s="1"/>
  <c r="Z31" i="4"/>
  <c r="Z33" i="4"/>
  <c r="Z37" i="4"/>
  <c r="Z24" i="4"/>
  <c r="Z2" i="4"/>
  <c r="X6" i="4"/>
  <c r="Z6" i="4" s="1"/>
  <c r="Z8" i="4"/>
  <c r="Z11" i="4"/>
  <c r="Z14" i="4"/>
  <c r="Z17" i="4"/>
  <c r="Z20" i="4"/>
  <c r="Z23" i="4"/>
  <c r="Z26" i="4"/>
  <c r="Z29" i="4"/>
  <c r="Z32" i="4"/>
  <c r="Z35" i="4"/>
  <c r="AA49" i="1"/>
  <c r="AB49" i="1"/>
  <c r="AA46" i="1"/>
  <c r="AB46" i="1"/>
  <c r="AB43" i="1"/>
  <c r="AB40" i="1"/>
  <c r="AB37" i="1"/>
  <c r="Y45" i="1"/>
  <c r="Y49" i="1"/>
  <c r="Y48" i="1"/>
  <c r="Y47" i="1"/>
  <c r="Y44" i="1"/>
  <c r="AA31" i="1"/>
  <c r="AA37" i="1"/>
  <c r="AA40" i="1"/>
  <c r="AA43" i="1"/>
  <c r="Y46" i="1"/>
  <c r="Y34" i="1"/>
  <c r="AB34" i="1"/>
  <c r="AA34" i="1"/>
  <c r="Y32" i="1"/>
  <c r="Y30" i="1"/>
  <c r="AB28" i="1"/>
  <c r="Y27" i="1"/>
  <c r="Y28" i="1"/>
  <c r="AA28" i="1"/>
  <c r="AA25" i="1"/>
  <c r="Y24" i="1"/>
  <c r="X18" i="1"/>
  <c r="J18" i="1"/>
  <c r="J53" i="1" s="1"/>
  <c r="P18" i="1"/>
  <c r="P53" i="1" s="1"/>
  <c r="AN20" i="1"/>
  <c r="AL20" i="1"/>
  <c r="AJ20" i="1"/>
  <c r="AH20" i="1"/>
  <c r="AF20" i="1"/>
  <c r="AD20" i="1"/>
  <c r="E17" i="1"/>
  <c r="E53" i="1" s="1"/>
  <c r="AN17" i="1"/>
  <c r="AL17" i="1"/>
  <c r="AJ17" i="1"/>
  <c r="AH17" i="1"/>
  <c r="AF17" i="1"/>
  <c r="AD17" i="1"/>
  <c r="AN14" i="1"/>
  <c r="AL14" i="1"/>
  <c r="AJ14" i="1"/>
  <c r="AH14" i="1"/>
  <c r="AF14" i="1"/>
  <c r="AD14" i="1"/>
  <c r="AN8" i="1"/>
  <c r="AL8" i="1"/>
  <c r="AJ8" i="1"/>
  <c r="AH8" i="1"/>
  <c r="AF8" i="1"/>
  <c r="AN11" i="1"/>
  <c r="AL11" i="1"/>
  <c r="AJ11" i="1"/>
  <c r="AH11" i="1"/>
  <c r="AF11" i="1"/>
  <c r="AD11" i="1"/>
  <c r="AD8" i="1"/>
  <c r="X9" i="1"/>
  <c r="W22" i="1"/>
  <c r="W21" i="1"/>
  <c r="Y21" i="1" s="1"/>
  <c r="W20" i="1"/>
  <c r="Y20" i="1" s="1"/>
  <c r="W19" i="1"/>
  <c r="Y19" i="1" s="1"/>
  <c r="W18" i="1"/>
  <c r="Y18" i="1" s="1"/>
  <c r="W16" i="1"/>
  <c r="Y16" i="1" s="1"/>
  <c r="W15" i="1"/>
  <c r="Y15" i="1" s="1"/>
  <c r="W14" i="1"/>
  <c r="Y14" i="1" s="1"/>
  <c r="W13" i="1"/>
  <c r="Y13" i="1" s="1"/>
  <c r="W12" i="1"/>
  <c r="W11" i="1"/>
  <c r="Y11" i="1" s="1"/>
  <c r="W10" i="1"/>
  <c r="W9" i="1"/>
  <c r="Y9" i="1" s="1"/>
  <c r="W8" i="1"/>
  <c r="Y8" i="1" s="1"/>
  <c r="W7" i="1"/>
  <c r="W6" i="1"/>
  <c r="AA7" i="1" s="1"/>
  <c r="W5" i="1"/>
  <c r="W4" i="1"/>
  <c r="W3" i="1"/>
  <c r="W2" i="1"/>
  <c r="AA4" i="1" s="1"/>
  <c r="X6" i="1"/>
  <c r="AN5" i="1"/>
  <c r="AL5" i="1"/>
  <c r="AJ5" i="1"/>
  <c r="AH5" i="1"/>
  <c r="AF5" i="1"/>
  <c r="AD5" i="1"/>
  <c r="X5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8" i="1"/>
  <c r="Z7" i="1"/>
  <c r="Z5" i="1"/>
  <c r="Z4" i="1"/>
  <c r="X3" i="1"/>
  <c r="Y7" i="1"/>
  <c r="Y6" i="1"/>
  <c r="Y4" i="1"/>
  <c r="AN2" i="1"/>
  <c r="AL2" i="1"/>
  <c r="AJ2" i="1"/>
  <c r="AH2" i="1"/>
  <c r="AF2" i="1"/>
  <c r="AD2" i="1"/>
  <c r="Z2" i="1"/>
  <c r="AB4" i="1" s="1"/>
  <c r="X2" i="1"/>
  <c r="X52" i="1" l="1"/>
  <c r="W17" i="1"/>
  <c r="Y17" i="1" s="1"/>
  <c r="AC55" i="5"/>
  <c r="Z55" i="5"/>
  <c r="AB55" i="5"/>
  <c r="AC40" i="4"/>
  <c r="X40" i="4"/>
  <c r="Z40" i="4" s="1"/>
  <c r="AB7" i="4"/>
  <c r="AB40" i="4" s="1"/>
  <c r="AA13" i="1"/>
  <c r="AB10" i="1"/>
  <c r="AB22" i="1"/>
  <c r="AA10" i="1"/>
  <c r="AA22" i="1"/>
  <c r="AA16" i="1"/>
  <c r="AB7" i="1"/>
  <c r="AB16" i="1"/>
  <c r="Y10" i="1"/>
  <c r="Y12" i="1"/>
  <c r="Y22" i="1"/>
  <c r="AB19" i="1"/>
  <c r="AA19" i="1"/>
  <c r="AA52" i="1" s="1"/>
  <c r="AB13" i="1"/>
  <c r="Y3" i="1"/>
  <c r="Y5" i="1"/>
  <c r="Z52" i="1"/>
  <c r="W52" i="1"/>
  <c r="Y2" i="1"/>
  <c r="Y52" i="1" l="1"/>
  <c r="AB52" i="1"/>
</calcChain>
</file>

<file path=xl/comments1.xml><?xml version="1.0" encoding="utf-8"?>
<comments xmlns="http://schemas.openxmlformats.org/spreadsheetml/2006/main">
  <authors>
    <author>bjarne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5x30m bakkesprint</t>
        </r>
      </text>
    </comment>
    <comment ref="D8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5x30m bakkesprint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5x30m bakkesprint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5x30m bakkesprint</t>
        </r>
      </text>
    </comment>
    <comment ref="D14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5x30m bakkesprint</t>
        </r>
      </text>
    </comment>
    <comment ref="D25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8x100m stigningsløb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A48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3x(2k@mp+1k@10k)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A50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fartleg</t>
        </r>
      </text>
    </comment>
    <comment ref="D51" authorId="0">
      <text>
        <r>
          <rPr>
            <b/>
            <sz val="9"/>
            <color indexed="81"/>
            <rFont val="Tahoma"/>
            <family val="2"/>
          </rPr>
          <t>bjarne:progessivt</t>
        </r>
      </text>
    </comment>
    <comment ref="D55" authorId="0">
      <text>
        <r>
          <rPr>
            <b/>
            <sz val="9"/>
            <color indexed="81"/>
            <rFont val="Tahoma"/>
            <family val="2"/>
          </rPr>
          <t>bjarne:progessivt</t>
        </r>
      </text>
    </comment>
    <comment ref="AB63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4k@mp+3k@hmp+2k@10k</t>
        </r>
      </text>
    </comment>
    <comment ref="AA65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AA66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AA68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AE68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fejl</t>
        </r>
      </text>
    </comment>
    <comment ref="D69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8x100m stigningsløb</t>
        </r>
      </text>
    </comment>
    <comment ref="AA70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AA71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73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AA74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mp</t>
        </r>
      </text>
    </comment>
    <comment ref="D78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inkl. 4x100m stigningsløb</t>
        </r>
      </text>
    </comment>
  </commentList>
</comments>
</file>

<file path=xl/comments10.xml><?xml version="1.0" encoding="utf-8"?>
<comments xmlns="http://schemas.openxmlformats.org/spreadsheetml/2006/main">
  <authors>
    <author>Bruger</author>
    <author>bjarne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DFT-Presswork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DFT-Presswork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27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Løb4Andre</t>
        </r>
      </text>
    </comment>
    <comment ref="F34" authorId="0">
      <text>
        <r>
          <rPr>
            <b/>
            <sz val="9"/>
            <color indexed="81"/>
            <rFont val="Tahoma"/>
            <family val="2"/>
          </rPr>
          <t>Bruger:
for DFT-Presswork</t>
        </r>
      </text>
    </comment>
    <comment ref="F3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betalt af Wieland</t>
        </r>
      </text>
    </comment>
    <comment ref="F4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fået gratis af én på FB</t>
        </r>
      </text>
    </comment>
    <comment ref="F5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fået i gave af Lena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Alsform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65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3:15</t>
        </r>
      </text>
    </comment>
    <comment ref="F66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købt på facebook</t>
        </r>
      </text>
    </comment>
    <comment ref="F6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privat</t>
        </r>
      </text>
    </comment>
    <comment ref="F70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købt på FB</t>
        </r>
      </text>
    </comment>
    <comment ref="F7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fartholder</t>
        </r>
      </text>
    </comment>
    <comment ref="F7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Fartholder</t>
        </r>
      </text>
    </comment>
    <comment ref="F7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FB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Fartholder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Fartholder</t>
        </r>
      </text>
    </comment>
    <comment ref="F9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fartholder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Alsform</t>
        </r>
      </text>
    </comment>
    <comment ref="F9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99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3:15</t>
        </r>
      </text>
    </comment>
    <comment ref="F100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1:35</t>
        </r>
      </text>
    </comment>
    <comment ref="F101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3:15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privat</t>
        </r>
      </text>
    </comment>
    <comment ref="F107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40 minutter</t>
        </r>
      </text>
    </comment>
    <comment ref="F110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3:15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Facebook, inkl. T-shirt</t>
        </r>
      </text>
    </comment>
    <comment ref="F114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40 minutter</t>
        </r>
      </text>
    </comment>
    <comment ref="F116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1:35 første halve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facebook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facebook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Alsform</t>
        </r>
      </text>
    </comment>
    <comment ref="F128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1:30</t>
        </r>
      </text>
    </comment>
    <comment ref="H1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skydning</t>
        </r>
      </text>
    </comment>
    <comment ref="F138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3:15</t>
        </r>
      </text>
    </comment>
    <comment ref="F139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1:30</t>
        </r>
      </text>
    </comment>
    <comment ref="F141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1:30, første halvdel</t>
        </r>
      </text>
    </comment>
    <comment ref="F14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Alsform</t>
        </r>
      </text>
    </comment>
    <comment ref="F146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1:35</t>
        </r>
      </text>
    </comment>
    <comment ref="F148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1:30</t>
        </r>
      </text>
    </comment>
    <comment ref="F14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FB inkl. hotel
</t>
        </r>
      </text>
    </comment>
    <comment ref="F1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Fået af én på Facebook</t>
        </r>
      </text>
    </comment>
    <comment ref="F16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FB</t>
        </r>
      </text>
    </comment>
    <comment ref="F16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gratis for medlemmer af Nordborg Løbeklub</t>
        </r>
      </text>
    </comment>
    <comment ref="F168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1:30</t>
        </r>
      </text>
    </comment>
    <comment ref="F17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Vundet Broager Sparekasse
</t>
        </r>
      </text>
    </comment>
    <comment ref="F176" authorId="1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fartholder 1:35 på den første halve</t>
        </r>
      </text>
    </comment>
  </commentList>
</comments>
</file>

<file path=xl/comments2.xml><?xml version="1.0" encoding="utf-8"?>
<comments xmlns="http://schemas.openxmlformats.org/spreadsheetml/2006/main">
  <authors>
    <author>Bruger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D1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Holstebro Bymarathon
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6x100 m stigningsløb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8x100 m stigningsløb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D5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A5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3x(2k@mp+1k@10k)
</t>
        </r>
      </text>
    </comment>
    <comment ref="D5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A6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D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D6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A7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4k@mp+3k@hmp+2k@10k
</t>
        </r>
      </text>
    </comment>
    <comment ref="AA7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7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8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D8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8x100 m stigningsløb
</t>
        </r>
      </text>
    </comment>
    <comment ref="AA8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8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8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8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9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A9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4x100 m stigningsløb
</t>
        </r>
      </text>
    </comment>
  </commentList>
</comments>
</file>

<file path=xl/comments3.xml><?xml version="1.0" encoding="utf-8"?>
<comments xmlns="http://schemas.openxmlformats.org/spreadsheetml/2006/main">
  <authors>
    <author>Bruger</author>
  </authors>
  <commentList>
    <comment ref="K1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1500+500</t>
        </r>
      </text>
    </comment>
    <comment ref="AN1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1500 + 500</t>
        </r>
      </text>
    </comment>
    <comment ref="AV1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20min Ae1 + 10min Ae2 + 10min Ae2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12x20 sekunders HIIT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1500+500</t>
        </r>
      </text>
    </comment>
    <comment ref="AN1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1500 + 500</t>
        </r>
      </text>
    </comment>
    <comment ref="AV2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20min Ae1 + 10min Ae2 + 10min Ae2</t>
        </r>
      </text>
    </comment>
    <comment ref="K2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1500+500</t>
        </r>
      </text>
    </comment>
    <comment ref="AV2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20min Ae1 + 15min Ae2 + 10min Ae2</t>
        </r>
      </text>
    </comment>
  </commentList>
</comments>
</file>

<file path=xl/comments4.xml><?xml version="1.0" encoding="utf-8"?>
<comments xmlns="http://schemas.openxmlformats.org/spreadsheetml/2006/main">
  <authors>
    <author>Bruger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6x100 m stigningsløb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8x100 m stigningsløb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5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3x(2k@mp+1k@10k)
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6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7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4k@mp+3k@hmp+2k@10k
</t>
        </r>
      </text>
    </comment>
    <comment ref="AB7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7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8x100 m stigningsløb
</t>
        </r>
      </text>
    </comment>
    <comment ref="AB8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9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9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4x100 m stigningsløb
</t>
        </r>
      </text>
    </comment>
  </commentList>
</comments>
</file>

<file path=xl/comments5.xml><?xml version="1.0" encoding="utf-8"?>
<comments xmlns="http://schemas.openxmlformats.org/spreadsheetml/2006/main">
  <authors>
    <author>Bruger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6x100 m stigningsløb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8x100 m stigningsløb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5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3x(2k@mp+1k@10k)
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6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7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4k@mp+3k@hmp+2k@10k
</t>
        </r>
      </text>
    </comment>
    <comment ref="AB7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7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8x100 m stigningsløb
</t>
        </r>
      </text>
    </comment>
    <comment ref="AB8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8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9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AB9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4x100 m stigningsløb
</t>
        </r>
      </text>
    </comment>
  </commentList>
</comments>
</file>

<file path=xl/comments6.xml><?xml version="1.0" encoding="utf-8"?>
<comments xmlns="http://schemas.openxmlformats.org/spreadsheetml/2006/main">
  <authors>
    <author>Bruger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3x(2k@mp+1k@10k)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1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2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4k@mp+3k@hmp+2k@10k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 km i mp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5 km i mp</t>
        </r>
      </text>
    </comment>
    <comment ref="AB3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8x100 m stigningsløb
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6 km i mp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 km i mp</t>
        </r>
      </text>
    </comment>
    <comment ref="AB3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 km i mp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6 km i mp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 km i mp
</t>
        </r>
      </text>
    </comment>
    <comment ref="E4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4x100 m stigningsløb
</t>
        </r>
      </text>
    </comment>
  </commentList>
</comments>
</file>

<file path=xl/comments7.xml><?xml version="1.0" encoding="utf-8"?>
<comments xmlns="http://schemas.openxmlformats.org/spreadsheetml/2006/main">
  <authors>
    <author>Bruger</author>
  </authors>
  <commentList>
    <comment ref="E1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</commentList>
</comments>
</file>

<file path=xl/comments8.xml><?xml version="1.0" encoding="utf-8"?>
<comments xmlns="http://schemas.openxmlformats.org/spreadsheetml/2006/main">
  <authors>
    <author>Bruger</author>
  </authors>
  <commentList>
    <comment ref="E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5x30 m bakkespurt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6x100 m stigningsløb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3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incl. 8x100 m stigningsløb</t>
        </r>
      </text>
    </comment>
    <comment ref="E42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5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3x(2k@mp+1k@10k)
</t>
        </r>
      </text>
    </comment>
    <comment ref="E5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60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fartleg
</t>
        </r>
      </text>
    </comment>
    <comment ref="E6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E66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progressivt</t>
        </r>
      </text>
    </comment>
    <comment ref="AB75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4k@mp+3k@hmp+2k@10k
</t>
        </r>
      </text>
    </comment>
    <comment ref="E78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5 km i mp (4:12)</t>
        </r>
      </text>
    </comment>
    <comment ref="E7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5 km i mp (4:13)</t>
        </r>
      </text>
    </comment>
    <comment ref="E8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9 km i mp</t>
        </r>
      </text>
    </comment>
    <comment ref="E8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8x100 m stigningsløb
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6 km i mp</t>
        </r>
      </text>
    </comment>
    <comment ref="AB87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mp
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 km i mp</t>
        </r>
      </text>
    </comment>
    <comment ref="E91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6 km i mp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4 km i mp</t>
        </r>
      </text>
    </comment>
    <comment ref="E94" authorId="0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inkl. 4x100 m stigningsløb
</t>
        </r>
      </text>
    </comment>
  </commentList>
</comments>
</file>

<file path=xl/comments9.xml><?xml version="1.0" encoding="utf-8"?>
<comments xmlns="http://schemas.openxmlformats.org/spreadsheetml/2006/main">
  <authors>
    <author>bjarne</author>
    <author>Bruger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bjarne:</t>
        </r>
        <r>
          <rPr>
            <sz val="9"/>
            <color indexed="81"/>
            <rFont val="Tahoma"/>
            <family val="2"/>
          </rPr>
          <t xml:space="preserve">
købt på FB</t>
        </r>
      </text>
    </comment>
    <comment ref="E8" authorId="1">
      <text>
        <r>
          <rPr>
            <b/>
            <sz val="9"/>
            <color indexed="81"/>
            <rFont val="Tahoma"/>
            <family val="2"/>
          </rPr>
          <t>Bruger:</t>
        </r>
        <r>
          <rPr>
            <sz val="9"/>
            <color indexed="81"/>
            <rFont val="Tahoma"/>
            <family val="2"/>
          </rPr>
          <t xml:space="preserve">
Købt på Facebook</t>
        </r>
      </text>
    </comment>
  </commentList>
</comments>
</file>

<file path=xl/sharedStrings.xml><?xml version="1.0" encoding="utf-8"?>
<sst xmlns="http://schemas.openxmlformats.org/spreadsheetml/2006/main" count="3079" uniqueCount="459">
  <si>
    <t>mandag</t>
  </si>
  <si>
    <t>rolig løb</t>
  </si>
  <si>
    <t>interval</t>
  </si>
  <si>
    <t>test</t>
  </si>
  <si>
    <t>løbet</t>
  </si>
  <si>
    <t>forskel</t>
  </si>
  <si>
    <t>plan</t>
  </si>
  <si>
    <t>tempo</t>
  </si>
  <si>
    <t>tid</t>
  </si>
  <si>
    <t>vægt</t>
  </si>
  <si>
    <t>knæ</t>
  </si>
  <si>
    <t>lår</t>
  </si>
  <si>
    <t>liv</t>
  </si>
  <si>
    <t>arme</t>
  </si>
  <si>
    <t>læg</t>
  </si>
  <si>
    <t>onsdag</t>
  </si>
  <si>
    <t>op/ned</t>
  </si>
  <si>
    <t>6x800</t>
  </si>
  <si>
    <t>lørdag</t>
  </si>
  <si>
    <t>løb</t>
  </si>
  <si>
    <t>hvile</t>
  </si>
  <si>
    <t>6x100</t>
  </si>
  <si>
    <t>løb tid</t>
  </si>
  <si>
    <t>5x1200</t>
  </si>
  <si>
    <t>tirsdag</t>
  </si>
  <si>
    <t>uge</t>
  </si>
  <si>
    <t>torsdag</t>
  </si>
  <si>
    <t>søndag</t>
  </si>
  <si>
    <t>6x1000</t>
  </si>
  <si>
    <t>fredag</t>
  </si>
  <si>
    <t>8x100</t>
  </si>
  <si>
    <t>5x1500</t>
  </si>
  <si>
    <t>4x2000</t>
  </si>
  <si>
    <t>5x2000</t>
  </si>
  <si>
    <t>8km MT</t>
  </si>
  <si>
    <t>12km MT</t>
  </si>
  <si>
    <t>4km MT</t>
  </si>
  <si>
    <t>3x1000</t>
  </si>
  <si>
    <t>4x100</t>
  </si>
  <si>
    <t>bryst</t>
  </si>
  <si>
    <t>v. knæ</t>
  </si>
  <si>
    <t>v. læg</t>
  </si>
  <si>
    <t>hviletid</t>
  </si>
  <si>
    <t>5x1000</t>
  </si>
  <si>
    <t>8x500</t>
  </si>
  <si>
    <t>test/tempo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</si>
  <si>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</si>
  <si>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</si>
  <si>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</si>
  <si>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</si>
  <si>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</si>
  <si>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</si>
  <si>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</si>
  <si>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</si>
  <si>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</si>
  <si>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</si>
  <si>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</si>
  <si>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</si>
  <si>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Nr.</t>
  </si>
  <si>
    <t>Måned</t>
  </si>
  <si>
    <t>Løbet</t>
  </si>
  <si>
    <t>By</t>
  </si>
  <si>
    <t>dato</t>
  </si>
  <si>
    <t>Dr. Nielsens hyggemarathon</t>
  </si>
  <si>
    <t>Vejle</t>
  </si>
  <si>
    <t>se</t>
  </si>
  <si>
    <t>ti</t>
  </si>
  <si>
    <t>mi</t>
  </si>
  <si>
    <t>Kiel Marathon</t>
  </si>
  <si>
    <t>Kiel</t>
  </si>
  <si>
    <t>Hamburg Marathon</t>
  </si>
  <si>
    <t>Hamburg</t>
  </si>
  <si>
    <t>i alt</t>
  </si>
  <si>
    <t>Copenhagen Marathon</t>
  </si>
  <si>
    <t>København</t>
  </si>
  <si>
    <t>Pris</t>
  </si>
  <si>
    <t>kørsel</t>
  </si>
  <si>
    <t>øvrig udgift</t>
  </si>
  <si>
    <t>mål</t>
  </si>
  <si>
    <t>total mål</t>
  </si>
  <si>
    <t>total forskel</t>
  </si>
  <si>
    <t>udlæg</t>
  </si>
  <si>
    <t>3:31:00</t>
  </si>
  <si>
    <t>Sydkystmarathon</t>
  </si>
  <si>
    <t>Greve</t>
  </si>
  <si>
    <t>Frankfurt Marathon</t>
  </si>
  <si>
    <t>Frankfurt</t>
  </si>
  <si>
    <t>3:39:00</t>
  </si>
  <si>
    <t>Fredskov Marathon</t>
  </si>
  <si>
    <t>Næstved</t>
  </si>
  <si>
    <t>Fehmern Marathon</t>
  </si>
  <si>
    <t>Fehmern</t>
  </si>
  <si>
    <t>Lena</t>
  </si>
  <si>
    <t>Bjarne</t>
  </si>
  <si>
    <t>overnat</t>
  </si>
  <si>
    <t>Almindelige ture</t>
  </si>
  <si>
    <t>type</t>
  </si>
  <si>
    <t>hvile km</t>
  </si>
  <si>
    <t>tid i alt</t>
  </si>
  <si>
    <t>km i alt</t>
  </si>
  <si>
    <t>km</t>
  </si>
  <si>
    <t>Dato</t>
  </si>
  <si>
    <t>Tirsdag</t>
  </si>
  <si>
    <t>Torsdag</t>
  </si>
  <si>
    <t>Fredag</t>
  </si>
  <si>
    <t>Søndag</t>
  </si>
  <si>
    <t>Interval</t>
  </si>
  <si>
    <t>Test, tempo, konkurrence</t>
  </si>
  <si>
    <t>Mandag</t>
  </si>
  <si>
    <t>MDR</t>
  </si>
  <si>
    <t>Grenaa Marathon</t>
  </si>
  <si>
    <t>Grenaa</t>
  </si>
  <si>
    <t>Einstein Marathon</t>
  </si>
  <si>
    <t>Ulm</t>
  </si>
  <si>
    <t>3:17:00</t>
  </si>
  <si>
    <t>Malaga Marathon</t>
  </si>
  <si>
    <t>Malaga</t>
  </si>
  <si>
    <t>Nordborg Marathon</t>
  </si>
  <si>
    <t>Nordborg</t>
  </si>
  <si>
    <t>3:36:00</t>
  </si>
  <si>
    <t>3:27:30</t>
  </si>
  <si>
    <t>3:24:00</t>
  </si>
  <si>
    <t>HCA Marathon</t>
  </si>
  <si>
    <t>Odense</t>
  </si>
  <si>
    <t>Fruens Bøge Marathon</t>
  </si>
  <si>
    <t>Sønderborg Natløb</t>
  </si>
  <si>
    <t>Sønderborg</t>
  </si>
  <si>
    <t>KM</t>
  </si>
  <si>
    <t>Rødekro løbet</t>
  </si>
  <si>
    <t>Rødekro</t>
  </si>
  <si>
    <t>1864 løbet</t>
  </si>
  <si>
    <t>Lillebælt ½ marathon</t>
  </si>
  <si>
    <t>Middelfart</t>
  </si>
  <si>
    <t>Nytårsløbet</t>
  </si>
  <si>
    <t>Bike &amp; Run</t>
  </si>
  <si>
    <t>Søløbet</t>
  </si>
  <si>
    <t>Motorvejsløbet</t>
  </si>
  <si>
    <t>Kliplev</t>
  </si>
  <si>
    <t>Gendarmløbet</t>
  </si>
  <si>
    <t>Broager</t>
  </si>
  <si>
    <t>Hammelev løbet</t>
  </si>
  <si>
    <t>Hammelev</t>
  </si>
  <si>
    <t>Guderup løbet</t>
  </si>
  <si>
    <t>Guderup</t>
  </si>
  <si>
    <t>m/km</t>
  </si>
  <si>
    <t>Kliplevløbet</t>
  </si>
  <si>
    <t>3:09:00</t>
  </si>
  <si>
    <t>3x1500</t>
  </si>
  <si>
    <t>puls</t>
  </si>
  <si>
    <t>puls max</t>
  </si>
  <si>
    <t>3x2000</t>
  </si>
  <si>
    <t>sekunder</t>
  </si>
  <si>
    <t>v.lår</t>
  </si>
  <si>
    <t>talje</t>
  </si>
  <si>
    <t>hofte</t>
  </si>
  <si>
    <t>h.lår</t>
  </si>
  <si>
    <t>v.læg</t>
  </si>
  <si>
    <t>h.læg</t>
  </si>
  <si>
    <t>h.arm</t>
  </si>
  <si>
    <t>v.arm</t>
  </si>
  <si>
    <t>Horsens Cannonball</t>
  </si>
  <si>
    <t>Horsens</t>
  </si>
  <si>
    <t>-</t>
  </si>
  <si>
    <t>VM halvmarathon</t>
  </si>
  <si>
    <t>Kolding Motion: Ib Jensens 100</t>
  </si>
  <si>
    <t>Kolding</t>
  </si>
  <si>
    <t>4x1000</t>
  </si>
  <si>
    <t>Hannover Marathon</t>
  </si>
  <si>
    <t>Hannover</t>
  </si>
  <si>
    <t>placering</t>
  </si>
  <si>
    <t>Ærø Marathon</t>
  </si>
  <si>
    <t>Marstal</t>
  </si>
  <si>
    <t>Ultraløbet Gendarmstien</t>
  </si>
  <si>
    <t>Kruså - Sønderborg</t>
  </si>
  <si>
    <t>Aabenraa Bjergmarathon</t>
  </si>
  <si>
    <t>Aabenraa</t>
  </si>
  <si>
    <t>Ø-marathon</t>
  </si>
  <si>
    <t>Amager</t>
  </si>
  <si>
    <t>Midzomeravondmarathon</t>
  </si>
  <si>
    <t>Diever, Holland</t>
  </si>
  <si>
    <t>Kaltenkirchener Marathon</t>
  </si>
  <si>
    <t>Kaltenkirchen</t>
  </si>
  <si>
    <t>Land</t>
  </si>
  <si>
    <t>Danmark</t>
  </si>
  <si>
    <t>Tyskland</t>
  </si>
  <si>
    <t>Spanien</t>
  </si>
  <si>
    <t>Holland</t>
  </si>
  <si>
    <t>Diever</t>
  </si>
  <si>
    <t>Mandø Marathon</t>
  </si>
  <si>
    <t>Wolfsburg Marathon</t>
  </si>
  <si>
    <t>Mandø</t>
  </si>
  <si>
    <t>Wolfsburg</t>
  </si>
  <si>
    <t>Digeløbet</t>
  </si>
  <si>
    <t>Højer</t>
  </si>
  <si>
    <t>HAGI Trail run</t>
  </si>
  <si>
    <t>6 timers løb Grenå</t>
  </si>
  <si>
    <t>Holstebro bymaraton</t>
  </si>
  <si>
    <t>Holstebro</t>
  </si>
  <si>
    <t>Slotssøløbet</t>
  </si>
  <si>
    <t>Gråsten</t>
  </si>
  <si>
    <t>Münster Marathon</t>
  </si>
  <si>
    <t>Münster</t>
  </si>
  <si>
    <t>4x1500</t>
  </si>
  <si>
    <t>7x1000</t>
  </si>
  <si>
    <t>Holstebro Bymarathon</t>
  </si>
  <si>
    <t>Strandvejsløbet</t>
  </si>
  <si>
    <t>Bruttotid</t>
  </si>
  <si>
    <t>Fartholder</t>
  </si>
  <si>
    <t>Sønderborg halvmarathon</t>
  </si>
  <si>
    <t>Wings For Life World Run</t>
  </si>
  <si>
    <t>Aarhus</t>
  </si>
  <si>
    <t>Kalø Trail Marathon</t>
  </si>
  <si>
    <t>Rønde</t>
  </si>
  <si>
    <t>100km Als rundt</t>
  </si>
  <si>
    <t>Lillebælt halvmarathon</t>
  </si>
  <si>
    <t>Als rundt 100 km</t>
  </si>
  <si>
    <t>Liverpool Marathon</t>
  </si>
  <si>
    <t>Liverpool</t>
  </si>
  <si>
    <t>England</t>
  </si>
  <si>
    <t>Fruens Bøge Marathon double 1</t>
  </si>
  <si>
    <t>Fruens Bøge Marathon double 2</t>
  </si>
  <si>
    <t>Liverpool 5K</t>
  </si>
  <si>
    <t>Rødekro Cannonball</t>
  </si>
  <si>
    <t>Aarhus halvmarathon</t>
  </si>
  <si>
    <t>Rest</t>
  </si>
  <si>
    <t>5:51-5:08</t>
  </si>
  <si>
    <t>Ae1</t>
  </si>
  <si>
    <t>5:07-4:37</t>
  </si>
  <si>
    <t>Ae2</t>
  </si>
  <si>
    <t>4:36-4:14</t>
  </si>
  <si>
    <t>Ae3</t>
  </si>
  <si>
    <t>4:13-4:07</t>
  </si>
  <si>
    <t>AnT</t>
  </si>
  <si>
    <t>4:06-4:02</t>
  </si>
  <si>
    <t>An1</t>
  </si>
  <si>
    <t>An2</t>
  </si>
  <si>
    <t>An3</t>
  </si>
  <si>
    <t>An4</t>
  </si>
  <si>
    <t>min</t>
  </si>
  <si>
    <t>rest</t>
  </si>
  <si>
    <t>lang</t>
  </si>
  <si>
    <t>x</t>
  </si>
  <si>
    <t>int</t>
  </si>
  <si>
    <t>aerob</t>
  </si>
  <si>
    <t>teknik</t>
  </si>
  <si>
    <t>C&amp;S</t>
  </si>
  <si>
    <t>aerob træning</t>
  </si>
  <si>
    <t>opv/afj</t>
  </si>
  <si>
    <t>aerob tempo</t>
  </si>
  <si>
    <t>lang tur</t>
  </si>
  <si>
    <t>program</t>
  </si>
  <si>
    <t>restitution</t>
  </si>
  <si>
    <t>opvarming / afjog</t>
  </si>
  <si>
    <t>4:01-3:52</t>
  </si>
  <si>
    <t>3:51-3:43</t>
  </si>
  <si>
    <t>3:42-3:38</t>
  </si>
  <si>
    <t>3:36</t>
  </si>
  <si>
    <t>4:13-4:02</t>
  </si>
  <si>
    <t>3x2500</t>
  </si>
  <si>
    <t>4:36-4:07</t>
  </si>
  <si>
    <t>7x800</t>
  </si>
  <si>
    <t>5:07-4:14</t>
  </si>
  <si>
    <t>3x3000</t>
  </si>
  <si>
    <t>8x800</t>
  </si>
  <si>
    <t>6x1200</t>
  </si>
  <si>
    <t>4:06-3:52</t>
  </si>
  <si>
    <t>2x2000</t>
  </si>
  <si>
    <t>4:36-3:52</t>
  </si>
  <si>
    <t>Rødekro Canonball</t>
  </si>
  <si>
    <t>Copenhagen Half Marathon</t>
  </si>
  <si>
    <t>5:51-4:37</t>
  </si>
  <si>
    <t>2x2500</t>
  </si>
  <si>
    <t>8x1000</t>
  </si>
  <si>
    <t>X</t>
  </si>
  <si>
    <t>2x3000</t>
  </si>
  <si>
    <t>CPH Half</t>
  </si>
  <si>
    <t>12x20 HIIT</t>
  </si>
  <si>
    <t>6x1500</t>
  </si>
  <si>
    <t>Lübeck Marathon</t>
  </si>
  <si>
    <t>Lübeck</t>
  </si>
  <si>
    <t>Verona Marathon</t>
  </si>
  <si>
    <t>Verona</t>
  </si>
  <si>
    <t>Italien</t>
  </si>
  <si>
    <t>1x3000</t>
  </si>
  <si>
    <t>fri</t>
  </si>
  <si>
    <t>3x1200</t>
  </si>
  <si>
    <t>Orla´s 70 års fødselsdagsløb</t>
  </si>
  <si>
    <t>Bemærkning</t>
  </si>
  <si>
    <t>Hannover MT</t>
  </si>
  <si>
    <t>CPH MT</t>
  </si>
  <si>
    <t>Marathon</t>
  </si>
  <si>
    <t>Madrid Marathon</t>
  </si>
  <si>
    <t>Madrid</t>
  </si>
  <si>
    <t>MT Gråsten</t>
  </si>
  <si>
    <t>MT Henne</t>
  </si>
  <si>
    <t>West Coast Beach &amp; Trail Marathon</t>
  </si>
  <si>
    <t>Henne Strand</t>
  </si>
  <si>
    <t>Kalkmineløbet</t>
  </si>
  <si>
    <t>Viborg</t>
  </si>
  <si>
    <t>IFORM løbet</t>
  </si>
  <si>
    <t>Langelner Marathon</t>
  </si>
  <si>
    <t>Langeln</t>
  </si>
  <si>
    <t>Hvide Sande</t>
  </si>
  <si>
    <t>Nort Sea Beach Marathon</t>
  </si>
  <si>
    <t>Bo´s marathon nr. 300</t>
  </si>
  <si>
    <t>Chip</t>
  </si>
  <si>
    <t>c</t>
  </si>
  <si>
    <t>North Sea Beach Marathon</t>
  </si>
  <si>
    <t>Bo´s Marathonløb no 300</t>
  </si>
  <si>
    <t>Niels Præstiin´s maraton nr. 100</t>
  </si>
  <si>
    <t>Hundige</t>
  </si>
  <si>
    <t>Skinnermaraton</t>
  </si>
  <si>
    <t>DM 100 km</t>
  </si>
  <si>
    <t xml:space="preserve">Viborg </t>
  </si>
  <si>
    <t>inden start</t>
  </si>
  <si>
    <t>start</t>
  </si>
  <si>
    <t>chews</t>
  </si>
  <si>
    <t>drik</t>
  </si>
  <si>
    <t>gel</t>
  </si>
  <si>
    <t>ss</t>
  </si>
  <si>
    <t>ds</t>
  </si>
  <si>
    <t>MÅL</t>
  </si>
  <si>
    <t>pr runde</t>
  </si>
  <si>
    <t>halve</t>
  </si>
  <si>
    <t xml:space="preserve">tempo </t>
  </si>
  <si>
    <t>depot</t>
  </si>
  <si>
    <t>L</t>
  </si>
  <si>
    <t>1 + L</t>
  </si>
  <si>
    <t>lomme</t>
  </si>
  <si>
    <t>gå</t>
  </si>
  <si>
    <t>40-60 km</t>
  </si>
  <si>
    <t>60-80 km</t>
  </si>
  <si>
    <t>80-100 km</t>
  </si>
  <si>
    <t>5:15</t>
  </si>
  <si>
    <t>0:30</t>
  </si>
  <si>
    <t>5:30</t>
  </si>
  <si>
    <t>pause d1</t>
  </si>
  <si>
    <t>pause d2</t>
  </si>
  <si>
    <t>0</t>
  </si>
  <si>
    <t>5:45</t>
  </si>
  <si>
    <t>0:45</t>
  </si>
  <si>
    <t>20-40 km</t>
  </si>
  <si>
    <t>0-20 km</t>
  </si>
  <si>
    <t>31:36</t>
  </si>
  <si>
    <t>gnsnit</t>
  </si>
  <si>
    <t>DGI Sønderjyske mesterskaber 10 km landevej</t>
  </si>
  <si>
    <t>Bremen Marathon</t>
  </si>
  <si>
    <t>Bremen</t>
  </si>
  <si>
    <t>Biatlon Nordborg</t>
  </si>
  <si>
    <t>STARK løbet i Augustenborg</t>
  </si>
  <si>
    <t>Augustenborg</t>
  </si>
  <si>
    <t>Stark løbet</t>
  </si>
  <si>
    <t>3/9</t>
  </si>
  <si>
    <t>2 ture</t>
  </si>
  <si>
    <t>uden chip</t>
  </si>
  <si>
    <t>Manchester</t>
  </si>
  <si>
    <t>Greater Manchester Marathon</t>
  </si>
  <si>
    <t>Flensburg Marathon</t>
  </si>
  <si>
    <t>Flensburg</t>
  </si>
  <si>
    <t>Middelfart cannonball</t>
  </si>
  <si>
    <t>Middelfart MT</t>
  </si>
  <si>
    <t>under 3:00</t>
  </si>
  <si>
    <t>3:00 - 3:05</t>
  </si>
  <si>
    <t xml:space="preserve">i alt </t>
  </si>
  <si>
    <t>3:05 - 3:10</t>
  </si>
  <si>
    <t>3:10 - 3:15</t>
  </si>
  <si>
    <t>3:15 - 3:20</t>
  </si>
  <si>
    <t>3:20 - 3:25</t>
  </si>
  <si>
    <t>3:25 - 3:30</t>
  </si>
  <si>
    <t>Manchester Marathon</t>
  </si>
  <si>
    <t>Mauerweglauf</t>
  </si>
  <si>
    <t>Berlin</t>
  </si>
  <si>
    <t>easy</t>
  </si>
  <si>
    <t>very easy</t>
  </si>
  <si>
    <t>4 timer</t>
  </si>
  <si>
    <t>6 t R&amp;W</t>
  </si>
  <si>
    <t>4,5 timer</t>
  </si>
  <si>
    <t>7 t R&amp;W</t>
  </si>
  <si>
    <t>8 t R&amp;W</t>
  </si>
  <si>
    <t>4 t R&amp;W</t>
  </si>
  <si>
    <t>gennemsnitstempo</t>
  </si>
  <si>
    <t>pause</t>
  </si>
  <si>
    <t>gnm</t>
  </si>
  <si>
    <t>mellem</t>
  </si>
  <si>
    <t>antal</t>
  </si>
  <si>
    <t>kl</t>
  </si>
  <si>
    <t>snit</t>
  </si>
  <si>
    <t>gå/løb/</t>
  </si>
  <si>
    <t>6 DB</t>
  </si>
  <si>
    <t>12 DB</t>
  </si>
  <si>
    <t>17 DB</t>
  </si>
  <si>
    <t>HUSK</t>
  </si>
  <si>
    <t>drikkedunk</t>
  </si>
  <si>
    <t>refleks vest</t>
  </si>
  <si>
    <t>pandelampe</t>
  </si>
  <si>
    <t>regnjakke</t>
  </si>
  <si>
    <t>powerbank</t>
  </si>
  <si>
    <t>OBL</t>
  </si>
  <si>
    <t>myggespray</t>
  </si>
  <si>
    <t>jonas</t>
  </si>
  <si>
    <t>købes</t>
  </si>
  <si>
    <t>2 stk.</t>
  </si>
  <si>
    <t>saltsticks</t>
  </si>
  <si>
    <t>solcreme</t>
  </si>
  <si>
    <t>Vognbølparkens marathon</t>
  </si>
  <si>
    <t>Esbjerg</t>
  </si>
  <si>
    <t>Amsterdam Marathon</t>
  </si>
  <si>
    <t>Amsterdam</t>
  </si>
  <si>
    <t>Vognbølparkens Marathon</t>
  </si>
  <si>
    <t>Trollrun 2017 bunker edition</t>
  </si>
  <si>
    <t>Pandekageløbet</t>
  </si>
  <si>
    <t>3:30-3:45</t>
  </si>
  <si>
    <t>3:45-4:00</t>
  </si>
  <si>
    <t>over 4:00</t>
  </si>
  <si>
    <t>Vejen</t>
  </si>
  <si>
    <t>Dr. Nielsen</t>
  </si>
  <si>
    <t>Fruens Bøge</t>
  </si>
  <si>
    <t>Gendarmsti</t>
  </si>
  <si>
    <t>DM Trail</t>
  </si>
  <si>
    <t>DM kort trail</t>
  </si>
  <si>
    <t>Champagnegaloppen</t>
  </si>
  <si>
    <t>Malta Marathon</t>
  </si>
  <si>
    <t>Berlin Marathon</t>
  </si>
  <si>
    <t>MarathonDanmark</t>
  </si>
  <si>
    <t>Thurø</t>
  </si>
  <si>
    <t>MT Thurø</t>
  </si>
  <si>
    <t>Løb Langt</t>
  </si>
  <si>
    <t>MT Rødekro</t>
  </si>
  <si>
    <t>Stettin Marathon</t>
  </si>
  <si>
    <t>Rødekro CB</t>
  </si>
  <si>
    <t>Polen</t>
  </si>
  <si>
    <t>Malta</t>
  </si>
  <si>
    <t>Budapest Marathon</t>
  </si>
  <si>
    <t>Funky Maraton</t>
  </si>
  <si>
    <t>Skyggebørns løbet Odense</t>
  </si>
  <si>
    <t>Skyggebørns</t>
  </si>
  <si>
    <t>Sliema</t>
  </si>
  <si>
    <t>Mogens Hinrichsens nr. 100</t>
  </si>
  <si>
    <t>Løve Mølle Marathon</t>
  </si>
  <si>
    <t>Løve</t>
  </si>
  <si>
    <t>Møgeltønder</t>
  </si>
  <si>
    <t>Klovneløbet</t>
  </si>
  <si>
    <t>Mjels</t>
  </si>
  <si>
    <t>Stettin</t>
  </si>
  <si>
    <t>9 DB</t>
  </si>
  <si>
    <t>14 DB</t>
  </si>
  <si>
    <t>20 DB</t>
  </si>
  <si>
    <t>plasticpose i DB</t>
  </si>
  <si>
    <t>3 stk.</t>
  </si>
  <si>
    <t>afg</t>
  </si>
  <si>
    <t>gang</t>
  </si>
  <si>
    <t>ad</t>
  </si>
  <si>
    <t>Ungarn</t>
  </si>
  <si>
    <t>Budapest</t>
  </si>
  <si>
    <t>Budapest Maraton</t>
  </si>
  <si>
    <t>Frankrig</t>
  </si>
  <si>
    <t>USA</t>
  </si>
  <si>
    <t>Nice - Cannes Marathon</t>
  </si>
  <si>
    <t>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</si>
</sst>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;@"/>
    <numFmt numFmtId="165" formatCode="00"/>
    <numFmt numFmtId="166" formatCode="hh:mm:ss;@"/>
    <numFmt numFmtId="167" formatCode="hh:mm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3">
    <xf numFmtId="0" fontId="0" fillId="0" borderId="0" xfId="0"/>
    <xf numFmtId="16" fontId="0" fillId="0" borderId="0" xfId="0" applyNumberFormat="1"/>
    <xf numFmtId="20" fontId="0" fillId="0" borderId="0" xfId="0" applyNumberFormat="1"/>
    <xf numFmtId="0" fontId="0" fillId="0" borderId="1" xfId="0" applyBorder="1"/>
    <xf numFmtId="0" fontId="0" fillId="0" borderId="2" xfId="0" applyBorder="1"/>
    <xf numFmtId="20" fontId="0" fillId="0" borderId="2" xfId="0" applyNumberFormat="1" applyBorder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3" fillId="0" borderId="0" xfId="0" applyFont="1"/>
    <xf numFmtId="0" fontId="4" fillId="0" borderId="0" xfId="0" applyFont="1"/>
    <xf numFmtId="20" fontId="4" fillId="0" borderId="0" xfId="0" applyNumberFormat="1" applyFont="1"/>
    <xf numFmtId="21" fontId="0" fillId="0" borderId="2" xfId="0" applyNumberFormat="1" applyBorder="1"/>
    <xf numFmtId="16" fontId="0" fillId="0" borderId="0" xfId="0" applyNumberFormat="1" applyFont="1"/>
    <xf numFmtId="16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4" fillId="0" borderId="3" xfId="0" applyFont="1" applyBorder="1"/>
    <xf numFmtId="20" fontId="0" fillId="0" borderId="3" xfId="0" applyNumberFormat="1" applyBorder="1"/>
    <xf numFmtId="20" fontId="4" fillId="0" borderId="3" xfId="0" applyNumberFormat="1" applyFont="1" applyBorder="1"/>
    <xf numFmtId="21" fontId="0" fillId="0" borderId="5" xfId="0" applyNumberFormat="1" applyBorder="1"/>
    <xf numFmtId="0" fontId="0" fillId="0" borderId="5" xfId="0" applyBorder="1"/>
    <xf numFmtId="0" fontId="5" fillId="0" borderId="0" xfId="0" applyFont="1" applyAlignment="1">
      <alignment horizontal="center"/>
    </xf>
    <xf numFmtId="21" fontId="0" fillId="0" borderId="0" xfId="0" applyNumberFormat="1" applyBorder="1"/>
    <xf numFmtId="0" fontId="0" fillId="0" borderId="0" xfId="0" applyFill="1" applyBorder="1"/>
    <xf numFmtId="0" fontId="4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/>
    <xf numFmtId="2" fontId="0" fillId="0" borderId="4" xfId="0" applyNumberFormat="1" applyBorder="1"/>
    <xf numFmtId="0" fontId="0" fillId="0" borderId="3" xfId="0" applyFill="1" applyBorder="1"/>
    <xf numFmtId="2" fontId="0" fillId="0" borderId="0" xfId="0" applyNumberFormat="1" applyFont="1"/>
    <xf numFmtId="0" fontId="2" fillId="0" borderId="3" xfId="0" applyFont="1" applyBorder="1"/>
    <xf numFmtId="0" fontId="2" fillId="0" borderId="2" xfId="0" applyFont="1" applyBorder="1"/>
    <xf numFmtId="0" fontId="2" fillId="0" borderId="5" xfId="0" applyFont="1" applyBorder="1"/>
    <xf numFmtId="0" fontId="2" fillId="0" borderId="6" xfId="0" applyFont="1" applyBorder="1"/>
    <xf numFmtId="2" fontId="3" fillId="0" borderId="0" xfId="0" applyNumberFormat="1" applyFont="1"/>
    <xf numFmtId="2" fontId="4" fillId="0" borderId="0" xfId="0" applyNumberFormat="1" applyFont="1"/>
    <xf numFmtId="2" fontId="4" fillId="0" borderId="3" xfId="0" applyNumberFormat="1" applyFont="1" applyBorder="1"/>
    <xf numFmtId="2" fontId="1" fillId="0" borderId="2" xfId="0" applyNumberFormat="1" applyFont="1" applyBorder="1"/>
    <xf numFmtId="2" fontId="0" fillId="0" borderId="2" xfId="0" applyNumberFormat="1" applyBorder="1"/>
    <xf numFmtId="2" fontId="0" fillId="0" borderId="5" xfId="0" applyNumberFormat="1" applyBorder="1"/>
    <xf numFmtId="2" fontId="0" fillId="0" borderId="0" xfId="0" applyNumberFormat="1"/>
    <xf numFmtId="46" fontId="0" fillId="0" borderId="2" xfId="0" applyNumberFormat="1" applyBorder="1"/>
    <xf numFmtId="21" fontId="0" fillId="0" borderId="0" xfId="0" applyNumberFormat="1"/>
    <xf numFmtId="16" fontId="0" fillId="0" borderId="0" xfId="0" applyNumberFormat="1" applyBorder="1"/>
    <xf numFmtId="0" fontId="4" fillId="0" borderId="0" xfId="0" applyFont="1" applyBorder="1"/>
    <xf numFmtId="20" fontId="0" fillId="0" borderId="0" xfId="0" applyNumberFormat="1" applyBorder="1"/>
    <xf numFmtId="20" fontId="4" fillId="0" borderId="0" xfId="0" applyNumberFormat="1" applyFont="1" applyBorder="1"/>
    <xf numFmtId="0" fontId="0" fillId="0" borderId="0" xfId="0" applyBorder="1" applyAlignment="1">
      <alignment horizontal="center"/>
    </xf>
    <xf numFmtId="2" fontId="4" fillId="0" borderId="0" xfId="0" applyNumberFormat="1" applyFont="1" applyBorder="1"/>
    <xf numFmtId="0" fontId="2" fillId="0" borderId="0" xfId="0" applyFont="1" applyBorder="1"/>
    <xf numFmtId="0" fontId="1" fillId="0" borderId="3" xfId="0" applyFont="1" applyBorder="1"/>
    <xf numFmtId="2" fontId="0" fillId="0" borderId="3" xfId="0" applyNumberFormat="1" applyBorder="1"/>
    <xf numFmtId="20" fontId="4" fillId="0" borderId="5" xfId="0" applyNumberFormat="1" applyFont="1" applyBorder="1"/>
    <xf numFmtId="2" fontId="0" fillId="0" borderId="0" xfId="0" applyNumberFormat="1" applyBorder="1"/>
    <xf numFmtId="0" fontId="4" fillId="0" borderId="7" xfId="0" applyFont="1" applyBorder="1"/>
    <xf numFmtId="0" fontId="4" fillId="0" borderId="1" xfId="0" applyFont="1" applyBorder="1"/>
    <xf numFmtId="20" fontId="4" fillId="0" borderId="6" xfId="0" applyNumberFormat="1" applyFont="1" applyBorder="1"/>
    <xf numFmtId="20" fontId="4" fillId="0" borderId="2" xfId="0" applyNumberFormat="1" applyFont="1" applyBorder="1"/>
    <xf numFmtId="21" fontId="4" fillId="0" borderId="0" xfId="0" applyNumberFormat="1" applyFont="1" applyBorder="1"/>
    <xf numFmtId="0" fontId="1" fillId="0" borderId="9" xfId="0" applyFont="1" applyBorder="1"/>
    <xf numFmtId="16" fontId="0" fillId="0" borderId="9" xfId="0" applyNumberFormat="1" applyBorder="1"/>
    <xf numFmtId="0" fontId="0" fillId="0" borderId="9" xfId="0" applyFill="1" applyBorder="1"/>
    <xf numFmtId="0" fontId="0" fillId="0" borderId="10" xfId="0" applyBorder="1"/>
    <xf numFmtId="0" fontId="4" fillId="0" borderId="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4" fillId="0" borderId="9" xfId="0" applyNumberFormat="1" applyFont="1" applyBorder="1"/>
    <xf numFmtId="0" fontId="2" fillId="0" borderId="9" xfId="0" applyFont="1" applyBorder="1"/>
    <xf numFmtId="0" fontId="2" fillId="0" borderId="8" xfId="0" applyFont="1" applyBorder="1"/>
    <xf numFmtId="0" fontId="4" fillId="0" borderId="10" xfId="0" applyFont="1" applyBorder="1"/>
    <xf numFmtId="0" fontId="0" fillId="0" borderId="8" xfId="0" applyBorder="1"/>
    <xf numFmtId="2" fontId="0" fillId="0" borderId="8" xfId="0" applyNumberFormat="1" applyBorder="1"/>
    <xf numFmtId="21" fontId="0" fillId="0" borderId="8" xfId="0" applyNumberFormat="1" applyBorder="1"/>
    <xf numFmtId="20" fontId="4" fillId="0" borderId="9" xfId="0" applyNumberFormat="1" applyFont="1" applyBorder="1"/>
    <xf numFmtId="21" fontId="0" fillId="0" borderId="9" xfId="0" applyNumberFormat="1" applyBorder="1"/>
    <xf numFmtId="16" fontId="0" fillId="0" borderId="0" xfId="0" applyNumberFormat="1" applyFill="1" applyBorder="1"/>
    <xf numFmtId="2" fontId="1" fillId="0" borderId="0" xfId="0" applyNumberFormat="1" applyFont="1" applyBorder="1"/>
    <xf numFmtId="2" fontId="0" fillId="0" borderId="9" xfId="0" applyNumberFormat="1" applyBorder="1"/>
    <xf numFmtId="21" fontId="0" fillId="0" borderId="4" xfId="0" applyNumberFormat="1" applyBorder="1"/>
    <xf numFmtId="16" fontId="0" fillId="0" borderId="3" xfId="0" applyNumberFormat="1" applyFill="1" applyBorder="1"/>
    <xf numFmtId="16" fontId="0" fillId="0" borderId="9" xfId="0" applyNumberFormat="1" applyFill="1" applyBorder="1"/>
    <xf numFmtId="2" fontId="0" fillId="0" borderId="0" xfId="0" applyNumberFormat="1" applyFill="1" applyBorder="1"/>
    <xf numFmtId="2" fontId="0" fillId="0" borderId="3" xfId="0" applyNumberFormat="1" applyFill="1" applyBorder="1"/>
    <xf numFmtId="1" fontId="0" fillId="0" borderId="0" xfId="0" applyNumberFormat="1"/>
    <xf numFmtId="3" fontId="0" fillId="0" borderId="0" xfId="0" applyNumberFormat="1"/>
    <xf numFmtId="3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0" fillId="0" borderId="0" xfId="0" applyNumberFormat="1"/>
    <xf numFmtId="49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/>
    <xf numFmtId="21" fontId="2" fillId="0" borderId="0" xfId="0" applyNumberFormat="1" applyFont="1"/>
    <xf numFmtId="1" fontId="2" fillId="0" borderId="0" xfId="0" applyNumberFormat="1" applyFont="1"/>
    <xf numFmtId="165" fontId="2" fillId="0" borderId="0" xfId="0" applyNumberFormat="1" applyFont="1"/>
    <xf numFmtId="1" fontId="6" fillId="0" borderId="0" xfId="0" applyNumberFormat="1" applyFont="1"/>
    <xf numFmtId="165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3" fontId="6" fillId="0" borderId="0" xfId="0" applyNumberFormat="1" applyFont="1"/>
    <xf numFmtId="1" fontId="3" fillId="0" borderId="0" xfId="0" applyNumberFormat="1" applyFont="1"/>
    <xf numFmtId="165" fontId="3" fillId="0" borderId="0" xfId="0" applyNumberFormat="1" applyFont="1"/>
    <xf numFmtId="0" fontId="3" fillId="0" borderId="2" xfId="0" applyFont="1" applyBorder="1"/>
    <xf numFmtId="0" fontId="0" fillId="0" borderId="0" xfId="0" applyFont="1"/>
    <xf numFmtId="2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/>
    <xf numFmtId="2" fontId="0" fillId="0" borderId="0" xfId="0" applyNumberFormat="1" applyFont="1" applyBorder="1"/>
    <xf numFmtId="4" fontId="4" fillId="0" borderId="0" xfId="0" applyNumberFormat="1" applyFont="1"/>
    <xf numFmtId="4" fontId="1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 applyBorder="1"/>
    <xf numFmtId="4" fontId="0" fillId="0" borderId="0" xfId="0" applyNumberFormat="1"/>
    <xf numFmtId="0" fontId="1" fillId="0" borderId="0" xfId="0" applyFont="1" applyAlignment="1"/>
    <xf numFmtId="0" fontId="3" fillId="0" borderId="0" xfId="0" applyFont="1" applyAlignment="1"/>
    <xf numFmtId="4" fontId="1" fillId="0" borderId="0" xfId="0" applyNumberFormat="1" applyFont="1" applyAlignment="1">
      <alignment horizontal="center"/>
    </xf>
    <xf numFmtId="4" fontId="3" fillId="0" borderId="0" xfId="0" applyNumberFormat="1" applyFont="1"/>
    <xf numFmtId="4" fontId="0" fillId="0" borderId="4" xfId="0" applyNumberFormat="1" applyBorder="1"/>
    <xf numFmtId="46" fontId="0" fillId="0" borderId="5" xfId="0" applyNumberFormat="1" applyBorder="1"/>
    <xf numFmtId="46" fontId="0" fillId="0" borderId="3" xfId="0" applyNumberFormat="1" applyBorder="1" applyAlignment="1">
      <alignment horizontal="center" vertical="center"/>
    </xf>
    <xf numFmtId="21" fontId="0" fillId="0" borderId="3" xfId="0" applyNumberFormat="1" applyBorder="1"/>
    <xf numFmtId="2" fontId="0" fillId="0" borderId="3" xfId="0" applyNumberFormat="1" applyFont="1" applyBorder="1"/>
    <xf numFmtId="4" fontId="4" fillId="0" borderId="3" xfId="0" applyNumberFormat="1" applyFont="1" applyBorder="1"/>
    <xf numFmtId="2" fontId="1" fillId="0" borderId="0" xfId="0" applyNumberFormat="1" applyFont="1" applyAlignment="1"/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20" fontId="1" fillId="0" borderId="0" xfId="0" applyNumberFormat="1" applyFont="1"/>
    <xf numFmtId="165" fontId="2" fillId="0" borderId="0" xfId="0" applyNumberFormat="1" applyFont="1" applyAlignment="1">
      <alignment horizontal="center"/>
    </xf>
    <xf numFmtId="1" fontId="4" fillId="0" borderId="0" xfId="0" applyNumberFormat="1" applyFont="1"/>
    <xf numFmtId="165" fontId="0" fillId="0" borderId="0" xfId="0" applyNumberFormat="1" applyFont="1"/>
    <xf numFmtId="0" fontId="1" fillId="0" borderId="0" xfId="0" applyFont="1" applyAlignment="1">
      <alignment horizontal="center"/>
    </xf>
    <xf numFmtId="164" fontId="1" fillId="0" borderId="11" xfId="0" applyNumberFormat="1" applyFont="1" applyBorder="1"/>
    <xf numFmtId="0" fontId="1" fillId="0" borderId="11" xfId="0" applyFont="1" applyBorder="1"/>
    <xf numFmtId="20" fontId="1" fillId="0" borderId="11" xfId="0" applyNumberFormat="1" applyFont="1" applyBorder="1"/>
    <xf numFmtId="20" fontId="4" fillId="0" borderId="8" xfId="0" applyNumberFormat="1" applyFont="1" applyBorder="1"/>
    <xf numFmtId="2" fontId="0" fillId="0" borderId="9" xfId="0" applyNumberFormat="1" applyFill="1" applyBorder="1"/>
    <xf numFmtId="0" fontId="1" fillId="0" borderId="0" xfId="0" applyFont="1" applyAlignment="1">
      <alignment horizontal="center"/>
    </xf>
    <xf numFmtId="1" fontId="4" fillId="0" borderId="3" xfId="0" applyNumberFormat="1" applyFont="1" applyBorder="1"/>
    <xf numFmtId="1" fontId="4" fillId="0" borderId="0" xfId="0" applyNumberFormat="1" applyFont="1" applyBorder="1"/>
    <xf numFmtId="1" fontId="4" fillId="0" borderId="9" xfId="0" applyNumberFormat="1" applyFont="1" applyBorder="1"/>
    <xf numFmtId="1" fontId="0" fillId="0" borderId="0" xfId="0" applyNumberFormat="1" applyFont="1"/>
    <xf numFmtId="1" fontId="0" fillId="0" borderId="3" xfId="0" applyNumberFormat="1" applyFont="1" applyBorder="1"/>
    <xf numFmtId="1" fontId="0" fillId="0" borderId="0" xfId="0" applyNumberFormat="1" applyFont="1" applyBorder="1"/>
    <xf numFmtId="1" fontId="0" fillId="0" borderId="9" xfId="0" applyNumberFormat="1" applyFont="1" applyBorder="1"/>
    <xf numFmtId="3" fontId="1" fillId="0" borderId="11" xfId="0" applyNumberFormat="1" applyFont="1" applyBorder="1"/>
    <xf numFmtId="1" fontId="1" fillId="0" borderId="11" xfId="0" applyNumberFormat="1" applyFont="1" applyBorder="1" applyAlignment="1">
      <alignment horizontal="right"/>
    </xf>
    <xf numFmtId="165" fontId="1" fillId="0" borderId="11" xfId="0" applyNumberFormat="1" applyFont="1" applyBorder="1"/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2" fillId="0" borderId="0" xfId="0" applyNumberFormat="1" applyFont="1"/>
    <xf numFmtId="166" fontId="1" fillId="0" borderId="2" xfId="0" applyNumberFormat="1" applyFont="1" applyBorder="1"/>
    <xf numFmtId="166" fontId="0" fillId="0" borderId="2" xfId="0" applyNumberFormat="1" applyBorder="1"/>
    <xf numFmtId="166" fontId="0" fillId="0" borderId="5" xfId="0" applyNumberFormat="1" applyBorder="1"/>
    <xf numFmtId="166" fontId="0" fillId="0" borderId="8" xfId="0" applyNumberFormat="1" applyBorder="1"/>
    <xf numFmtId="166" fontId="0" fillId="0" borderId="0" xfId="0" applyNumberFormat="1"/>
    <xf numFmtId="1" fontId="4" fillId="0" borderId="0" xfId="0" applyNumberFormat="1" applyFont="1" applyBorder="1" applyAlignment="1">
      <alignment horizontal="right"/>
    </xf>
    <xf numFmtId="16" fontId="0" fillId="0" borderId="2" xfId="0" applyNumberFormat="1" applyFill="1" applyBorder="1"/>
    <xf numFmtId="20" fontId="0" fillId="0" borderId="9" xfId="0" applyNumberFormat="1" applyBorder="1"/>
    <xf numFmtId="164" fontId="1" fillId="0" borderId="0" xfId="0" applyNumberFormat="1" applyFont="1" applyBorder="1"/>
    <xf numFmtId="3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20" fontId="1" fillId="0" borderId="0" xfId="0" applyNumberFormat="1" applyFont="1" applyBorder="1"/>
    <xf numFmtId="1" fontId="1" fillId="0" borderId="11" xfId="0" applyNumberFormat="1" applyFont="1" applyBorder="1" applyAlignment="1">
      <alignment horizontal="center"/>
    </xf>
    <xf numFmtId="165" fontId="0" fillId="0" borderId="11" xfId="0" applyNumberFormat="1" applyBorder="1"/>
    <xf numFmtId="1" fontId="1" fillId="0" borderId="0" xfId="0" applyNumberFormat="1" applyFont="1" applyBorder="1" applyAlignment="1">
      <alignment horizontal="center"/>
    </xf>
    <xf numFmtId="165" fontId="0" fillId="0" borderId="0" xfId="0" applyNumberFormat="1" applyBorder="1"/>
    <xf numFmtId="0" fontId="1" fillId="0" borderId="0" xfId="0" applyFont="1" applyAlignment="1">
      <alignment horizontal="center"/>
    </xf>
    <xf numFmtId="0" fontId="4" fillId="0" borderId="12" xfId="0" applyFont="1" applyBorder="1"/>
    <xf numFmtId="0" fontId="0" fillId="0" borderId="1" xfId="0" applyFill="1" applyBorder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right"/>
    </xf>
    <xf numFmtId="20" fontId="0" fillId="0" borderId="1" xfId="0" applyNumberFormat="1" applyBorder="1"/>
    <xf numFmtId="0" fontId="9" fillId="0" borderId="2" xfId="0" applyFont="1" applyBorder="1" applyAlignment="1">
      <alignment horizontal="right"/>
    </xf>
    <xf numFmtId="20" fontId="0" fillId="0" borderId="0" xfId="0" applyNumberFormat="1" applyFill="1" applyBorder="1" applyAlignment="1">
      <alignment horizontal="center"/>
    </xf>
    <xf numFmtId="16" fontId="0" fillId="0" borderId="0" xfId="0" applyNumberFormat="1" applyFill="1" applyBorder="1" applyAlignment="1">
      <alignment horizontal="center"/>
    </xf>
    <xf numFmtId="16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20" fontId="0" fillId="0" borderId="3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46" fontId="0" fillId="0" borderId="0" xfId="0" applyNumberFormat="1" applyBorder="1"/>
    <xf numFmtId="21" fontId="0" fillId="0" borderId="0" xfId="0" applyNumberFormat="1" applyFont="1" applyBorder="1"/>
    <xf numFmtId="20" fontId="0" fillId="0" borderId="0" xfId="0" applyNumberFormat="1" applyFont="1" applyBorder="1"/>
    <xf numFmtId="21" fontId="0" fillId="0" borderId="4" xfId="0" applyNumberFormat="1" applyFont="1" applyBorder="1"/>
    <xf numFmtId="0" fontId="0" fillId="0" borderId="3" xfId="0" applyFont="1" applyBorder="1" applyAlignment="1">
      <alignment horizontal="center"/>
    </xf>
    <xf numFmtId="1" fontId="4" fillId="0" borderId="2" xfId="0" applyNumberFormat="1" applyFont="1" applyBorder="1"/>
    <xf numFmtId="1" fontId="4" fillId="0" borderId="5" xfId="0" applyNumberFormat="1" applyFont="1" applyBorder="1"/>
    <xf numFmtId="20" fontId="0" fillId="0" borderId="4" xfId="0" applyNumberFormat="1" applyBorder="1"/>
    <xf numFmtId="2" fontId="4" fillId="0" borderId="2" xfId="0" applyNumberFormat="1" applyFont="1" applyBorder="1"/>
    <xf numFmtId="2" fontId="4" fillId="0" borderId="5" xfId="0" applyNumberFormat="1" applyFont="1" applyBorder="1"/>
    <xf numFmtId="2" fontId="4" fillId="0" borderId="4" xfId="0" applyNumberFormat="1" applyFont="1" applyBorder="1"/>
    <xf numFmtId="49" fontId="9" fillId="0" borderId="0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166" fontId="3" fillId="0" borderId="0" xfId="0" applyNumberFormat="1" applyFont="1" applyBorder="1"/>
    <xf numFmtId="2" fontId="3" fillId="0" borderId="2" xfId="0" applyNumberFormat="1" applyFont="1" applyBorder="1"/>
    <xf numFmtId="0" fontId="3" fillId="0" borderId="0" xfId="0" applyFont="1" applyBorder="1"/>
    <xf numFmtId="21" fontId="4" fillId="0" borderId="2" xfId="0" applyNumberFormat="1" applyFont="1" applyBorder="1"/>
    <xf numFmtId="21" fontId="4" fillId="0" borderId="0" xfId="0" applyNumberFormat="1" applyFont="1"/>
    <xf numFmtId="2" fontId="4" fillId="0" borderId="0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16" fontId="1" fillId="0" borderId="0" xfId="0" applyNumberFormat="1" applyFont="1"/>
    <xf numFmtId="16" fontId="1" fillId="0" borderId="0" xfId="0" applyNumberFormat="1" applyFont="1" applyFill="1" applyBorder="1"/>
    <xf numFmtId="0" fontId="4" fillId="0" borderId="0" xfId="0" applyFont="1" applyAlignment="1">
      <alignment horizontal="right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0" fontId="4" fillId="0" borderId="3" xfId="0" applyNumberFormat="1" applyFont="1" applyBorder="1" applyAlignment="1">
      <alignment horizontal="center"/>
    </xf>
    <xf numFmtId="20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20" fontId="0" fillId="0" borderId="0" xfId="0" applyNumberFormat="1" applyFont="1"/>
    <xf numFmtId="0" fontId="0" fillId="0" borderId="3" xfId="0" applyFont="1" applyBorder="1"/>
    <xf numFmtId="0" fontId="0" fillId="0" borderId="0" xfId="0" applyFont="1" applyBorder="1"/>
    <xf numFmtId="16" fontId="1" fillId="0" borderId="3" xfId="0" applyNumberFormat="1" applyFont="1" applyBorder="1"/>
    <xf numFmtId="16" fontId="1" fillId="0" borderId="3" xfId="0" applyNumberFormat="1" applyFont="1" applyFill="1" applyBorder="1"/>
    <xf numFmtId="21" fontId="4" fillId="0" borderId="3" xfId="0" applyNumberFormat="1" applyFont="1" applyBorder="1"/>
    <xf numFmtId="46" fontId="4" fillId="0" borderId="0" xfId="0" applyNumberFormat="1" applyFont="1" applyBorder="1"/>
    <xf numFmtId="1" fontId="3" fillId="0" borderId="0" xfId="0" applyNumberFormat="1" applyFont="1" applyBorder="1"/>
    <xf numFmtId="1" fontId="9" fillId="0" borderId="0" xfId="0" applyNumberFormat="1" applyFont="1" applyAlignment="1">
      <alignment horizontal="right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166" fontId="3" fillId="0" borderId="2" xfId="0" applyNumberFormat="1" applyFont="1" applyBorder="1"/>
    <xf numFmtId="2" fontId="3" fillId="0" borderId="0" xfId="0" applyNumberFormat="1" applyFont="1" applyBorder="1"/>
    <xf numFmtId="166" fontId="4" fillId="0" borderId="2" xfId="0" applyNumberFormat="1" applyFont="1" applyBorder="1"/>
    <xf numFmtId="166" fontId="4" fillId="0" borderId="5" xfId="0" applyNumberFormat="1" applyFont="1" applyBorder="1"/>
    <xf numFmtId="166" fontId="4" fillId="0" borderId="8" xfId="0" applyNumberFormat="1" applyFont="1" applyBorder="1"/>
    <xf numFmtId="166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4" fillId="0" borderId="2" xfId="0" applyFont="1" applyBorder="1"/>
    <xf numFmtId="46" fontId="4" fillId="0" borderId="2" xfId="0" applyNumberFormat="1" applyFont="1" applyBorder="1"/>
    <xf numFmtId="0" fontId="4" fillId="0" borderId="5" xfId="0" applyFont="1" applyBorder="1"/>
    <xf numFmtId="21" fontId="4" fillId="0" borderId="5" xfId="0" applyNumberFormat="1" applyFont="1" applyBorder="1"/>
    <xf numFmtId="0" fontId="4" fillId="0" borderId="8" xfId="0" applyFont="1" applyBorder="1"/>
    <xf numFmtId="2" fontId="4" fillId="0" borderId="8" xfId="0" applyNumberFormat="1" applyFont="1" applyBorder="1"/>
    <xf numFmtId="165" fontId="2" fillId="0" borderId="0" xfId="0" applyNumberFormat="1" applyFont="1" applyBorder="1"/>
    <xf numFmtId="21" fontId="4" fillId="0" borderId="9" xfId="0" applyNumberFormat="1" applyFont="1" applyBorder="1"/>
    <xf numFmtId="1" fontId="2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/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2" fillId="0" borderId="0" xfId="0" applyFont="1" applyAlignment="1">
      <alignment horizontal="center"/>
    </xf>
    <xf numFmtId="21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16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2" fillId="0" borderId="0" xfId="0" applyFont="1"/>
    <xf numFmtId="164" fontId="3" fillId="0" borderId="0" xfId="0" applyNumberFormat="1" applyFont="1" applyBorder="1"/>
    <xf numFmtId="1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5" xfId="0" applyNumberFormat="1" applyBorder="1"/>
    <xf numFmtId="2" fontId="1" fillId="0" borderId="1" xfId="0" applyNumberFormat="1" applyFont="1" applyBorder="1"/>
    <xf numFmtId="2" fontId="0" fillId="0" borderId="1" xfId="0" applyNumberFormat="1" applyFill="1" applyBorder="1"/>
    <xf numFmtId="2" fontId="0" fillId="0" borderId="10" xfId="0" applyNumberFormat="1" applyBorder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21" fontId="13" fillId="0" borderId="0" xfId="0" applyNumberFormat="1" applyFont="1" applyAlignment="1">
      <alignment horizontal="center"/>
    </xf>
    <xf numFmtId="20" fontId="13" fillId="0" borderId="0" xfId="0" applyNumberFormat="1" applyFont="1" applyAlignment="1">
      <alignment horizontal="center"/>
    </xf>
    <xf numFmtId="21" fontId="14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21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46" fontId="1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1" fontId="3" fillId="0" borderId="3" xfId="0" applyNumberFormat="1" applyFont="1" applyBorder="1" applyAlignment="1">
      <alignment horizontal="center"/>
    </xf>
    <xf numFmtId="21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0" fontId="0" fillId="0" borderId="0" xfId="0" applyNumberFormat="1" applyFont="1" applyAlignment="1">
      <alignment horizontal="center"/>
    </xf>
    <xf numFmtId="20" fontId="9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5" fontId="6" fillId="0" borderId="0" xfId="0" applyNumberFormat="1" applyFont="1" applyAlignment="1">
      <alignment horizontal="center"/>
    </xf>
    <xf numFmtId="45" fontId="12" fillId="0" borderId="0" xfId="0" applyNumberFormat="1" applyFont="1" applyAlignment="1">
      <alignment horizontal="center"/>
    </xf>
    <xf numFmtId="45" fontId="9" fillId="0" borderId="0" xfId="0" applyNumberFormat="1" applyFont="1" applyAlignment="1">
      <alignment horizontal="center"/>
    </xf>
    <xf numFmtId="45" fontId="2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6" fontId="1" fillId="0" borderId="0" xfId="0" applyNumberFormat="1" applyFont="1" applyAlignment="1">
      <alignment horizontal="center"/>
    </xf>
    <xf numFmtId="20" fontId="2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6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0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5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0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2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3" fillId="0" borderId="3" xfId="0" applyNumberFormat="1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8.140625" customWidth="1"/>
    <col min="5" max="5" width="8.140625" style="13" customWidth="1"/>
    <col min="6" max="6" width="8.140625" customWidth="1"/>
    <col min="7" max="7" width="8.140625" style="13" customWidth="1"/>
    <col min="8" max="9" width="8.140625" customWidth="1"/>
    <col min="10" max="10" width="8.140625" style="13" customWidth="1"/>
    <col min="11" max="11" width="8.140625" customWidth="1"/>
    <col min="12" max="12" width="8.140625" style="13" customWidth="1"/>
    <col min="13" max="13" width="8.140625" customWidth="1"/>
    <col min="14" max="14" width="8.140625" style="46" customWidth="1"/>
    <col min="15" max="15" width="8.140625" style="30" customWidth="1"/>
    <col min="16" max="16" width="8.140625" style="41" customWidth="1"/>
    <col min="17" max="17" width="8.140625" customWidth="1"/>
    <col min="18" max="18" width="8.140625" style="13" customWidth="1"/>
    <col min="19" max="20" width="8.140625" customWidth="1"/>
    <col min="21" max="21" width="8.140625" style="13" customWidth="1"/>
    <col min="22" max="22" width="8.140625" customWidth="1"/>
    <col min="23" max="23" width="8.140625" style="13" customWidth="1"/>
    <col min="24" max="24" width="8.140625" customWidth="1"/>
    <col min="25" max="25" width="6.28515625" customWidth="1"/>
    <col min="26" max="26" width="8.140625" style="13" customWidth="1"/>
    <col min="27" max="27" width="6.5703125" style="13" bestFit="1" customWidth="1"/>
    <col min="28" max="28" width="8.140625" style="13" bestFit="1" customWidth="1"/>
    <col min="29" max="29" width="8.140625" customWidth="1"/>
    <col min="30" max="30" width="8.140625" style="9" customWidth="1"/>
    <col min="31" max="31" width="8.140625" customWidth="1"/>
    <col min="32" max="32" width="8.140625" style="9" customWidth="1"/>
    <col min="33" max="33" width="8.140625" customWidth="1"/>
    <col min="34" max="34" width="8.140625" style="9" customWidth="1"/>
    <col min="35" max="35" width="8.140625" customWidth="1"/>
    <col min="36" max="36" width="8.140625" style="9" customWidth="1"/>
    <col min="37" max="37" width="8.140625" customWidth="1"/>
    <col min="38" max="38" width="8.140625" style="9" customWidth="1"/>
    <col min="39" max="39" width="8.140625" customWidth="1"/>
    <col min="40" max="40" width="8.140625" style="9" customWidth="1"/>
    <col min="41" max="41" width="10.42578125" bestFit="1" customWidth="1"/>
    <col min="42" max="54" width="8.140625" customWidth="1"/>
  </cols>
  <sheetData>
    <row r="1" spans="1:40" s="6" customFormat="1" x14ac:dyDescent="0.25">
      <c r="D1" s="7" t="s">
        <v>1</v>
      </c>
      <c r="E1" s="12" t="s">
        <v>4</v>
      </c>
      <c r="F1" s="6" t="s">
        <v>7</v>
      </c>
      <c r="G1" s="12" t="s">
        <v>4</v>
      </c>
      <c r="H1" s="8" t="s">
        <v>8</v>
      </c>
      <c r="I1" s="6" t="s">
        <v>16</v>
      </c>
      <c r="J1" s="12" t="s">
        <v>4</v>
      </c>
      <c r="K1" s="6" t="s">
        <v>7</v>
      </c>
      <c r="L1" s="12" t="s">
        <v>4</v>
      </c>
      <c r="M1" s="10" t="s">
        <v>8</v>
      </c>
      <c r="N1" s="43" t="s">
        <v>20</v>
      </c>
      <c r="O1" s="29" t="s">
        <v>2</v>
      </c>
      <c r="P1" s="40" t="s">
        <v>4</v>
      </c>
      <c r="Q1" s="6" t="s">
        <v>7</v>
      </c>
      <c r="R1" s="12" t="s">
        <v>4</v>
      </c>
      <c r="S1" s="8" t="s">
        <v>8</v>
      </c>
      <c r="T1" s="6" t="s">
        <v>3</v>
      </c>
      <c r="U1" s="12" t="s">
        <v>7</v>
      </c>
      <c r="V1" s="8" t="s">
        <v>8</v>
      </c>
      <c r="W1" s="12" t="s">
        <v>19</v>
      </c>
      <c r="X1" s="9" t="s">
        <v>6</v>
      </c>
      <c r="Y1" s="9" t="s">
        <v>5</v>
      </c>
      <c r="Z1" s="12" t="s">
        <v>8</v>
      </c>
      <c r="AA1" s="6" t="s">
        <v>25</v>
      </c>
      <c r="AB1" s="6" t="s">
        <v>22</v>
      </c>
      <c r="AC1" s="7" t="s">
        <v>9</v>
      </c>
      <c r="AD1" s="9" t="s">
        <v>5</v>
      </c>
      <c r="AE1" s="6" t="s">
        <v>10</v>
      </c>
      <c r="AF1" s="9" t="s">
        <v>5</v>
      </c>
      <c r="AG1" s="6" t="s">
        <v>11</v>
      </c>
      <c r="AH1" s="9" t="s">
        <v>5</v>
      </c>
      <c r="AI1" s="6" t="s">
        <v>12</v>
      </c>
      <c r="AJ1" s="9" t="s">
        <v>5</v>
      </c>
      <c r="AK1" s="6" t="s">
        <v>13</v>
      </c>
      <c r="AL1" s="9" t="s">
        <v>5</v>
      </c>
      <c r="AM1" s="6" t="s">
        <v>14</v>
      </c>
      <c r="AN1" s="37" t="s">
        <v>5</v>
      </c>
    </row>
    <row r="2" spans="1:40" x14ac:dyDescent="0.25">
      <c r="B2" s="1">
        <v>40938</v>
      </c>
      <c r="C2" s="1" t="s">
        <v>0</v>
      </c>
      <c r="D2" s="3">
        <v>14</v>
      </c>
      <c r="E2" s="13">
        <v>14.01</v>
      </c>
      <c r="F2" s="2">
        <v>0.24027777777777778</v>
      </c>
      <c r="G2" s="14">
        <v>0.23124999999999998</v>
      </c>
      <c r="H2" s="15">
        <v>5.4027777777777779E-2</v>
      </c>
      <c r="M2" s="11"/>
      <c r="N2" s="44"/>
      <c r="S2" s="4"/>
      <c r="V2" s="5"/>
      <c r="W2" s="13">
        <f t="shared" ref="W2:W22" si="0">E2+J2+P2+T2+N2</f>
        <v>14.01</v>
      </c>
      <c r="X2">
        <f>D2+I2+O2+T2</f>
        <v>14</v>
      </c>
      <c r="Y2">
        <f t="shared" ref="Y2:Y22" si="1">W2-X2</f>
        <v>9.9999999999997868E-3</v>
      </c>
      <c r="Z2" s="14">
        <f>H2+M2+S2+V2</f>
        <v>5.4027777777777779E-2</v>
      </c>
      <c r="AA2" s="32"/>
      <c r="AB2"/>
      <c r="AC2" s="3">
        <v>85.7</v>
      </c>
      <c r="AD2" s="9">
        <f>0</f>
        <v>0</v>
      </c>
      <c r="AE2">
        <v>43</v>
      </c>
      <c r="AF2" s="9">
        <f>0</f>
        <v>0</v>
      </c>
      <c r="AG2">
        <v>61</v>
      </c>
      <c r="AH2" s="9">
        <f>0</f>
        <v>0</v>
      </c>
      <c r="AI2">
        <v>95</v>
      </c>
      <c r="AJ2" s="9">
        <f>0</f>
        <v>0</v>
      </c>
      <c r="AK2">
        <v>33</v>
      </c>
      <c r="AL2" s="9">
        <f>0</f>
        <v>0</v>
      </c>
      <c r="AM2">
        <v>42</v>
      </c>
      <c r="AN2" s="37">
        <f>0</f>
        <v>0</v>
      </c>
    </row>
    <row r="3" spans="1:40" x14ac:dyDescent="0.25">
      <c r="A3" s="25">
        <v>1</v>
      </c>
      <c r="B3" s="1">
        <v>40940</v>
      </c>
      <c r="C3" t="s">
        <v>15</v>
      </c>
      <c r="D3" s="3"/>
      <c r="H3" s="4"/>
      <c r="I3">
        <v>4</v>
      </c>
      <c r="J3" s="13">
        <v>4.0199999999999996</v>
      </c>
      <c r="K3" s="2"/>
      <c r="L3" s="14">
        <v>0.21875</v>
      </c>
      <c r="M3" s="26">
        <v>1.4687499999999999E-2</v>
      </c>
      <c r="N3" s="44">
        <v>2.38</v>
      </c>
      <c r="O3" s="30" t="s">
        <v>17</v>
      </c>
      <c r="P3" s="41">
        <v>4.8</v>
      </c>
      <c r="Q3" s="2">
        <v>0.17708333333333334</v>
      </c>
      <c r="R3" s="14">
        <v>0.17500000000000002</v>
      </c>
      <c r="S3" s="15">
        <v>1.3969907407407408E-2</v>
      </c>
      <c r="V3" s="4"/>
      <c r="W3" s="13">
        <f t="shared" si="0"/>
        <v>11.2</v>
      </c>
      <c r="X3">
        <f>I3+(6*0.8)+2.38</f>
        <v>11.18</v>
      </c>
      <c r="Y3">
        <f t="shared" si="1"/>
        <v>1.9999999999999574E-2</v>
      </c>
      <c r="Z3" s="14">
        <v>3.9780092592592589E-2</v>
      </c>
      <c r="AA3" s="32"/>
      <c r="AB3"/>
      <c r="AC3" s="3"/>
      <c r="AN3" s="37"/>
    </row>
    <row r="4" spans="1:40" x14ac:dyDescent="0.25">
      <c r="A4" s="18"/>
      <c r="B4" s="17">
        <v>40943</v>
      </c>
      <c r="C4" s="18" t="s">
        <v>18</v>
      </c>
      <c r="D4" s="19">
        <v>18</v>
      </c>
      <c r="E4" s="20">
        <v>19.39</v>
      </c>
      <c r="F4" s="21">
        <v>0.24027777777777778</v>
      </c>
      <c r="G4" s="22">
        <v>0.22152777777777777</v>
      </c>
      <c r="H4" s="23">
        <v>7.1504629629629626E-2</v>
      </c>
      <c r="I4" s="18"/>
      <c r="J4" s="20"/>
      <c r="K4" s="18"/>
      <c r="L4" s="20"/>
      <c r="M4" s="18"/>
      <c r="N4" s="45"/>
      <c r="O4" s="31"/>
      <c r="P4" s="42"/>
      <c r="Q4" s="18"/>
      <c r="R4" s="20"/>
      <c r="S4" s="24"/>
      <c r="T4" s="18"/>
      <c r="U4" s="20"/>
      <c r="V4" s="24"/>
      <c r="W4" s="28">
        <f t="shared" si="0"/>
        <v>19.39</v>
      </c>
      <c r="X4" s="18">
        <v>18</v>
      </c>
      <c r="Y4" s="18">
        <f t="shared" si="1"/>
        <v>1.3900000000000006</v>
      </c>
      <c r="Z4" s="22">
        <f>H4+M4+S4+V4</f>
        <v>7.1504629629629626E-2</v>
      </c>
      <c r="AA4" s="33">
        <f>SUM(W2:W4)</f>
        <v>44.6</v>
      </c>
      <c r="AB4" s="21">
        <f>SUM(Z2:Z4)</f>
        <v>0.16531249999999997</v>
      </c>
      <c r="AC4" s="19"/>
      <c r="AD4" s="36"/>
      <c r="AE4" s="18"/>
      <c r="AF4" s="36"/>
      <c r="AG4" s="18"/>
      <c r="AH4" s="36"/>
      <c r="AI4" s="18"/>
      <c r="AJ4" s="36"/>
      <c r="AK4" s="18"/>
      <c r="AL4" s="36"/>
      <c r="AM4" s="18"/>
      <c r="AN4" s="38"/>
    </row>
    <row r="5" spans="1:40" x14ac:dyDescent="0.25">
      <c r="B5" s="16">
        <v>40945</v>
      </c>
      <c r="C5" t="s">
        <v>0</v>
      </c>
      <c r="D5" s="3">
        <v>12</v>
      </c>
      <c r="E5" s="13">
        <v>12</v>
      </c>
      <c r="F5" s="2">
        <v>0.24027777777777778</v>
      </c>
      <c r="G5" s="14">
        <v>0.22430555555555556</v>
      </c>
      <c r="H5" s="15">
        <v>4.4837962962962961E-2</v>
      </c>
      <c r="I5">
        <v>2</v>
      </c>
      <c r="J5" s="13">
        <v>1.93</v>
      </c>
      <c r="K5" s="2"/>
      <c r="L5" s="14">
        <v>0.22222222222222221</v>
      </c>
      <c r="M5" s="26">
        <v>7.1296296296296307E-3</v>
      </c>
      <c r="N5" s="44"/>
      <c r="O5" s="30" t="s">
        <v>21</v>
      </c>
      <c r="P5" s="41">
        <v>0.6</v>
      </c>
      <c r="Q5" s="2"/>
      <c r="R5" s="14">
        <v>0.14097222222222222</v>
      </c>
      <c r="S5" s="15">
        <v>1.3888888888888889E-3</v>
      </c>
      <c r="V5" s="4"/>
      <c r="W5" s="13">
        <f t="shared" si="0"/>
        <v>14.53</v>
      </c>
      <c r="X5">
        <f>12+2+0.6</f>
        <v>14.6</v>
      </c>
      <c r="Y5" s="11">
        <f t="shared" si="1"/>
        <v>-7.0000000000000284E-2</v>
      </c>
      <c r="Z5" s="14">
        <f>H5+M5+S5+V5</f>
        <v>5.3356481481481484E-2</v>
      </c>
      <c r="AA5" s="32"/>
      <c r="AB5"/>
      <c r="AC5" s="3">
        <v>84.6</v>
      </c>
      <c r="AD5" s="9">
        <f>AC5-AC2</f>
        <v>-1.1000000000000085</v>
      </c>
      <c r="AE5">
        <v>42</v>
      </c>
      <c r="AF5" s="9">
        <f>AE5-AE2</f>
        <v>-1</v>
      </c>
      <c r="AG5">
        <v>61</v>
      </c>
      <c r="AH5" s="9">
        <f>AG5-AG2</f>
        <v>0</v>
      </c>
      <c r="AI5">
        <v>97</v>
      </c>
      <c r="AJ5" s="9">
        <f>AI5-AI2</f>
        <v>2</v>
      </c>
      <c r="AK5">
        <v>32</v>
      </c>
      <c r="AL5" s="9">
        <f>AK5-AK2</f>
        <v>-1</v>
      </c>
      <c r="AM5">
        <v>42</v>
      </c>
      <c r="AN5" s="39">
        <f>AM5-AM2</f>
        <v>0</v>
      </c>
    </row>
    <row r="6" spans="1:40" x14ac:dyDescent="0.25">
      <c r="A6" s="25">
        <v>2</v>
      </c>
      <c r="B6" s="1">
        <v>40947</v>
      </c>
      <c r="C6" t="s">
        <v>15</v>
      </c>
      <c r="D6" s="3"/>
      <c r="H6" s="4"/>
      <c r="I6">
        <v>4</v>
      </c>
      <c r="J6" s="13">
        <v>3.74</v>
      </c>
      <c r="K6" s="2"/>
      <c r="L6" s="14">
        <v>0.20972222222222223</v>
      </c>
      <c r="M6" s="26">
        <v>1.3078703703703703E-2</v>
      </c>
      <c r="N6" s="44">
        <v>0.9</v>
      </c>
      <c r="O6" s="30" t="s">
        <v>23</v>
      </c>
      <c r="P6" s="41">
        <v>6</v>
      </c>
      <c r="Q6" s="2">
        <v>0.19305555555555554</v>
      </c>
      <c r="R6" s="14">
        <v>0.17847222222222223</v>
      </c>
      <c r="S6" s="15">
        <v>1.7858796296296296E-2</v>
      </c>
      <c r="V6" s="4"/>
      <c r="W6" s="13">
        <f t="shared" si="0"/>
        <v>10.64</v>
      </c>
      <c r="X6">
        <f>I6+N6+(5*1.2)</f>
        <v>10.9</v>
      </c>
      <c r="Y6" s="11">
        <f t="shared" si="1"/>
        <v>-0.25999999999999979</v>
      </c>
      <c r="Z6" s="14">
        <v>3.6134259259259262E-2</v>
      </c>
      <c r="AA6" s="32"/>
      <c r="AB6"/>
      <c r="AC6" s="3"/>
      <c r="AN6" s="37"/>
    </row>
    <row r="7" spans="1:40" x14ac:dyDescent="0.25">
      <c r="A7" s="18"/>
      <c r="B7" s="17">
        <v>40950</v>
      </c>
      <c r="C7" s="18" t="s">
        <v>18</v>
      </c>
      <c r="D7" s="19">
        <v>20</v>
      </c>
      <c r="E7" s="20">
        <v>21.04</v>
      </c>
      <c r="F7" s="21">
        <v>0.24027777777777778</v>
      </c>
      <c r="G7" s="22">
        <v>0.21527777777777779</v>
      </c>
      <c r="H7" s="23">
        <v>7.5578703703703703E-2</v>
      </c>
      <c r="I7" s="18"/>
      <c r="J7" s="20"/>
      <c r="K7" s="18"/>
      <c r="L7" s="20"/>
      <c r="M7" s="18"/>
      <c r="N7" s="45"/>
      <c r="O7" s="31"/>
      <c r="P7" s="42"/>
      <c r="Q7" s="18"/>
      <c r="R7" s="20"/>
      <c r="S7" s="24"/>
      <c r="T7" s="18"/>
      <c r="U7" s="20"/>
      <c r="V7" s="24"/>
      <c r="W7" s="28">
        <f t="shared" si="0"/>
        <v>21.04</v>
      </c>
      <c r="X7" s="18">
        <v>20</v>
      </c>
      <c r="Y7" s="18">
        <f t="shared" si="1"/>
        <v>1.0399999999999991</v>
      </c>
      <c r="Z7" s="22">
        <f>H7+M7+S7+V7</f>
        <v>7.5578703703703703E-2</v>
      </c>
      <c r="AA7" s="33">
        <f>SUM(W5:W7)</f>
        <v>46.21</v>
      </c>
      <c r="AB7" s="21">
        <f>SUM(Z5:Z7)</f>
        <v>0.16506944444444444</v>
      </c>
      <c r="AC7" s="19"/>
      <c r="AD7" s="36"/>
      <c r="AE7" s="18"/>
      <c r="AF7" s="36"/>
      <c r="AG7" s="18"/>
      <c r="AH7" s="36"/>
      <c r="AI7" s="18"/>
      <c r="AJ7" s="36"/>
      <c r="AK7" s="18"/>
      <c r="AL7" s="36"/>
      <c r="AM7" s="18"/>
      <c r="AN7" s="38"/>
    </row>
    <row r="8" spans="1:40" x14ac:dyDescent="0.25">
      <c r="B8" s="1">
        <v>40953</v>
      </c>
      <c r="C8" s="27" t="s">
        <v>24</v>
      </c>
      <c r="D8" s="3">
        <v>16</v>
      </c>
      <c r="E8" s="13">
        <v>16.2</v>
      </c>
      <c r="F8" s="2">
        <v>0.24027777777777778</v>
      </c>
      <c r="G8" s="14">
        <v>0.21527777777777779</v>
      </c>
      <c r="H8" s="15">
        <v>5.8206018518518511E-2</v>
      </c>
      <c r="M8" s="11"/>
      <c r="N8" s="44"/>
      <c r="S8" s="4"/>
      <c r="V8" s="4"/>
      <c r="W8" s="13">
        <f t="shared" si="0"/>
        <v>16.2</v>
      </c>
      <c r="X8">
        <v>16</v>
      </c>
      <c r="Y8" s="11">
        <f t="shared" si="1"/>
        <v>0.19999999999999929</v>
      </c>
      <c r="Z8" s="14">
        <f>H8+M8+S8+V8</f>
        <v>5.8206018518518511E-2</v>
      </c>
      <c r="AA8" s="32"/>
      <c r="AB8"/>
      <c r="AC8" s="3">
        <v>85.3</v>
      </c>
      <c r="AD8" s="9">
        <f>AC8-$AC$2</f>
        <v>-0.40000000000000568</v>
      </c>
      <c r="AE8">
        <v>42</v>
      </c>
      <c r="AF8" s="9">
        <f>AE8-AE2</f>
        <v>-1</v>
      </c>
      <c r="AG8">
        <v>61</v>
      </c>
      <c r="AH8" s="9">
        <f>AG8-AG2</f>
        <v>0</v>
      </c>
      <c r="AI8">
        <v>97</v>
      </c>
      <c r="AJ8" s="9">
        <f>AI8-AI2</f>
        <v>2</v>
      </c>
      <c r="AK8">
        <v>33</v>
      </c>
      <c r="AL8" s="9">
        <f>AK8-AK2</f>
        <v>0</v>
      </c>
      <c r="AM8">
        <v>42</v>
      </c>
      <c r="AN8" s="39">
        <f>AM8-AM2</f>
        <v>0</v>
      </c>
    </row>
    <row r="9" spans="1:40" x14ac:dyDescent="0.25">
      <c r="A9" s="25">
        <v>3</v>
      </c>
      <c r="B9" s="1">
        <v>40955</v>
      </c>
      <c r="C9" s="27" t="s">
        <v>26</v>
      </c>
      <c r="D9" s="3"/>
      <c r="H9" s="4"/>
      <c r="I9">
        <v>4</v>
      </c>
      <c r="J9" s="13">
        <v>4.0999999999999996</v>
      </c>
      <c r="K9" s="2"/>
      <c r="L9" s="14">
        <v>0.21388888888888891</v>
      </c>
      <c r="M9" s="26">
        <v>1.4641203703703703E-2</v>
      </c>
      <c r="N9" s="44">
        <v>2.06</v>
      </c>
      <c r="O9" s="30" t="s">
        <v>17</v>
      </c>
      <c r="P9" s="41">
        <v>4.8</v>
      </c>
      <c r="Q9" s="2">
        <v>0.17708333333333334</v>
      </c>
      <c r="R9" s="14">
        <v>0.17152777777777775</v>
      </c>
      <c r="S9" s="15">
        <v>1.3553240740740741E-2</v>
      </c>
      <c r="V9" s="4"/>
      <c r="W9" s="13">
        <f t="shared" si="0"/>
        <v>10.959999999999999</v>
      </c>
      <c r="X9">
        <f>I9+(6*0.8)+2.06</f>
        <v>10.860000000000001</v>
      </c>
      <c r="Y9" s="11">
        <f t="shared" si="1"/>
        <v>9.9999999999997868E-2</v>
      </c>
      <c r="Z9" s="14">
        <v>3.9317129629629625E-2</v>
      </c>
      <c r="AA9" s="32"/>
      <c r="AB9"/>
      <c r="AC9" s="3"/>
      <c r="AN9" s="37"/>
    </row>
    <row r="10" spans="1:40" x14ac:dyDescent="0.25">
      <c r="A10" s="18"/>
      <c r="B10" s="17">
        <v>40958</v>
      </c>
      <c r="C10" s="34" t="s">
        <v>27</v>
      </c>
      <c r="D10" s="19">
        <v>22</v>
      </c>
      <c r="E10" s="20">
        <v>23.2</v>
      </c>
      <c r="F10" s="21">
        <v>0.24027777777777778</v>
      </c>
      <c r="G10" s="22">
        <v>0.22013888888888888</v>
      </c>
      <c r="H10" s="23">
        <v>8.5381944444444455E-2</v>
      </c>
      <c r="I10" s="18"/>
      <c r="J10" s="20"/>
      <c r="K10" s="18"/>
      <c r="L10" s="20"/>
      <c r="M10" s="18"/>
      <c r="N10" s="45"/>
      <c r="O10" s="31"/>
      <c r="P10" s="42"/>
      <c r="Q10" s="18"/>
      <c r="R10" s="20"/>
      <c r="S10" s="24"/>
      <c r="T10" s="18"/>
      <c r="U10" s="20"/>
      <c r="V10" s="24"/>
      <c r="W10" s="20">
        <f t="shared" si="0"/>
        <v>23.2</v>
      </c>
      <c r="X10" s="18">
        <v>22</v>
      </c>
      <c r="Y10" s="18">
        <f t="shared" si="1"/>
        <v>1.1999999999999993</v>
      </c>
      <c r="Z10" s="22">
        <f t="shared" ref="Z10:Z43" si="2">H10+M10+S10+V10</f>
        <v>8.5381944444444455E-2</v>
      </c>
      <c r="AA10" s="33">
        <f>SUM(W8:W10)</f>
        <v>50.36</v>
      </c>
      <c r="AB10" s="21">
        <f>SUM(Z8:Z10)</f>
        <v>0.18290509259259258</v>
      </c>
      <c r="AC10" s="19"/>
      <c r="AD10" s="36"/>
      <c r="AE10" s="18"/>
      <c r="AF10" s="36"/>
      <c r="AG10" s="18"/>
      <c r="AH10" s="36"/>
      <c r="AI10" s="18"/>
      <c r="AJ10" s="36"/>
      <c r="AK10" s="18"/>
      <c r="AL10" s="36"/>
      <c r="AM10" s="18"/>
      <c r="AN10" s="38"/>
    </row>
    <row r="11" spans="1:40" x14ac:dyDescent="0.25">
      <c r="B11" s="1">
        <v>40960</v>
      </c>
      <c r="C11" s="27" t="s">
        <v>24</v>
      </c>
      <c r="D11" s="3">
        <v>12</v>
      </c>
      <c r="E11" s="13">
        <v>12.26</v>
      </c>
      <c r="F11" s="2">
        <v>0.24027777777777778</v>
      </c>
      <c r="G11" s="14">
        <v>0.21249999999999999</v>
      </c>
      <c r="H11" s="15">
        <v>4.3379629629629629E-2</v>
      </c>
      <c r="M11" s="11"/>
      <c r="N11" s="44"/>
      <c r="S11" s="4"/>
      <c r="V11" s="4"/>
      <c r="W11" s="13">
        <f t="shared" si="0"/>
        <v>12.26</v>
      </c>
      <c r="X11" s="27">
        <v>12</v>
      </c>
      <c r="Y11" s="27">
        <f t="shared" si="1"/>
        <v>0.25999999999999979</v>
      </c>
      <c r="Z11" s="14">
        <f t="shared" si="2"/>
        <v>4.3379629629629629E-2</v>
      </c>
      <c r="AA11" s="32"/>
      <c r="AB11"/>
      <c r="AC11" s="3">
        <v>82.6</v>
      </c>
      <c r="AD11" s="9">
        <f>AC11-$AC$2</f>
        <v>-3.1000000000000085</v>
      </c>
      <c r="AE11">
        <v>40</v>
      </c>
      <c r="AF11" s="9">
        <f>AE11-$AE$2</f>
        <v>-3</v>
      </c>
      <c r="AG11">
        <v>59</v>
      </c>
      <c r="AH11" s="9">
        <f>AG11-$AG$2</f>
        <v>-2</v>
      </c>
      <c r="AI11">
        <v>95</v>
      </c>
      <c r="AJ11" s="9">
        <f>AI11-$AI$2</f>
        <v>0</v>
      </c>
      <c r="AK11">
        <v>32</v>
      </c>
      <c r="AL11" s="9">
        <f>AK11-$AK$2</f>
        <v>-1</v>
      </c>
      <c r="AM11">
        <v>41</v>
      </c>
      <c r="AN11" s="39">
        <f>AM11-$AM$2</f>
        <v>-1</v>
      </c>
    </row>
    <row r="12" spans="1:40" x14ac:dyDescent="0.25">
      <c r="A12" s="25">
        <v>4</v>
      </c>
      <c r="B12" s="1">
        <v>40962</v>
      </c>
      <c r="C12" s="27" t="s">
        <v>26</v>
      </c>
      <c r="D12" s="3">
        <v>12</v>
      </c>
      <c r="E12" s="13">
        <v>14.09</v>
      </c>
      <c r="F12" s="2">
        <v>0.24027777777777778</v>
      </c>
      <c r="G12" s="14">
        <v>0.20555555555555557</v>
      </c>
      <c r="H12" s="15">
        <v>4.8206018518518523E-2</v>
      </c>
      <c r="M12" s="11"/>
      <c r="N12" s="44"/>
      <c r="S12" s="4"/>
      <c r="V12" s="4"/>
      <c r="W12" s="13">
        <f t="shared" si="0"/>
        <v>14.09</v>
      </c>
      <c r="X12" s="27">
        <v>12</v>
      </c>
      <c r="Y12" s="27">
        <f t="shared" si="1"/>
        <v>2.09</v>
      </c>
      <c r="Z12" s="14">
        <f t="shared" si="2"/>
        <v>4.8206018518518523E-2</v>
      </c>
      <c r="AA12" s="32"/>
      <c r="AB12"/>
      <c r="AC12" s="3"/>
      <c r="AN12" s="37"/>
    </row>
    <row r="13" spans="1:40" x14ac:dyDescent="0.25">
      <c r="A13" s="18"/>
      <c r="B13" s="17">
        <v>40964</v>
      </c>
      <c r="C13" s="34" t="s">
        <v>18</v>
      </c>
      <c r="D13" s="19">
        <v>12</v>
      </c>
      <c r="E13" s="20">
        <v>13.21</v>
      </c>
      <c r="F13" s="21">
        <v>0.24027777777777778</v>
      </c>
      <c r="G13" s="22">
        <v>0.21944444444444444</v>
      </c>
      <c r="H13" s="23">
        <v>4.8263888888888884E-2</v>
      </c>
      <c r="I13" s="18"/>
      <c r="J13" s="20"/>
      <c r="K13" s="18"/>
      <c r="L13" s="20"/>
      <c r="M13" s="18"/>
      <c r="N13" s="45"/>
      <c r="O13" s="31"/>
      <c r="P13" s="42"/>
      <c r="Q13" s="18"/>
      <c r="R13" s="20"/>
      <c r="S13" s="24"/>
      <c r="T13" s="18"/>
      <c r="U13" s="20"/>
      <c r="V13" s="24"/>
      <c r="W13" s="20">
        <f t="shared" si="0"/>
        <v>13.21</v>
      </c>
      <c r="X13" s="34">
        <v>12</v>
      </c>
      <c r="Y13" s="34">
        <f t="shared" si="1"/>
        <v>1.2100000000000009</v>
      </c>
      <c r="Z13" s="22">
        <f t="shared" si="2"/>
        <v>4.8263888888888884E-2</v>
      </c>
      <c r="AA13" s="33">
        <f>SUM(W11:W13)</f>
        <v>39.56</v>
      </c>
      <c r="AB13" s="21">
        <f>SUM(Z11:Z13)</f>
        <v>0.13984953703703704</v>
      </c>
      <c r="AC13" s="19"/>
      <c r="AD13" s="36"/>
      <c r="AE13" s="18"/>
      <c r="AF13" s="36"/>
      <c r="AG13" s="18"/>
      <c r="AH13" s="36"/>
      <c r="AI13" s="18"/>
      <c r="AJ13" s="36"/>
      <c r="AK13" s="18"/>
      <c r="AL13" s="36"/>
      <c r="AM13" s="18"/>
      <c r="AN13" s="38"/>
    </row>
    <row r="14" spans="1:40" x14ac:dyDescent="0.25">
      <c r="B14" s="1">
        <v>40966</v>
      </c>
      <c r="C14" s="27" t="s">
        <v>0</v>
      </c>
      <c r="D14" s="3">
        <v>14</v>
      </c>
      <c r="E14" s="13">
        <v>13.41</v>
      </c>
      <c r="F14" s="2">
        <v>0.24027777777777778</v>
      </c>
      <c r="G14" s="14">
        <v>0.22638888888888889</v>
      </c>
      <c r="H14" s="15">
        <v>5.063657407407407E-2</v>
      </c>
      <c r="M14" s="11"/>
      <c r="N14" s="44"/>
      <c r="S14" s="4"/>
      <c r="V14" s="4"/>
      <c r="W14" s="13">
        <f t="shared" si="0"/>
        <v>13.41</v>
      </c>
      <c r="X14" s="27">
        <v>14</v>
      </c>
      <c r="Y14" s="27">
        <f t="shared" si="1"/>
        <v>-0.58999999999999986</v>
      </c>
      <c r="Z14" s="14">
        <f t="shared" si="2"/>
        <v>5.063657407407407E-2</v>
      </c>
      <c r="AA14" s="32"/>
      <c r="AB14"/>
      <c r="AC14" s="3">
        <v>82.7</v>
      </c>
      <c r="AD14" s="9">
        <f>AC14-$AC$2</f>
        <v>-3</v>
      </c>
      <c r="AE14">
        <v>40</v>
      </c>
      <c r="AF14" s="9">
        <f>AE14-$AE$2</f>
        <v>-3</v>
      </c>
      <c r="AG14">
        <v>60</v>
      </c>
      <c r="AH14" s="9">
        <f>AG14-$AG$2</f>
        <v>-1</v>
      </c>
      <c r="AI14">
        <v>96</v>
      </c>
      <c r="AJ14" s="9">
        <f>AI14-$AI$2</f>
        <v>1</v>
      </c>
      <c r="AK14">
        <v>31</v>
      </c>
      <c r="AL14" s="9">
        <f>AK14-$AK$2</f>
        <v>-2</v>
      </c>
      <c r="AM14">
        <v>42</v>
      </c>
      <c r="AN14" s="39">
        <f>AM14-$AM$2</f>
        <v>0</v>
      </c>
    </row>
    <row r="15" spans="1:40" x14ac:dyDescent="0.25">
      <c r="A15" s="25">
        <v>5</v>
      </c>
      <c r="B15" s="1">
        <v>40970</v>
      </c>
      <c r="C15" s="27" t="s">
        <v>29</v>
      </c>
      <c r="D15" s="3"/>
      <c r="H15" s="4"/>
      <c r="I15">
        <v>4</v>
      </c>
      <c r="J15" s="13">
        <v>4</v>
      </c>
      <c r="K15" s="2"/>
      <c r="L15" s="14">
        <v>0.22013888888888888</v>
      </c>
      <c r="M15" s="26">
        <v>1.4664351851851852E-2</v>
      </c>
      <c r="N15" s="44">
        <v>2.48</v>
      </c>
      <c r="O15" s="30" t="s">
        <v>28</v>
      </c>
      <c r="P15" s="41">
        <v>6</v>
      </c>
      <c r="Q15" s="2">
        <v>0.17708333333333334</v>
      </c>
      <c r="R15" s="14">
        <v>0.17152777777777775</v>
      </c>
      <c r="S15" s="47">
        <v>1.7118055555555556E-2</v>
      </c>
      <c r="V15" s="4"/>
      <c r="W15" s="13">
        <f t="shared" si="0"/>
        <v>12.48</v>
      </c>
      <c r="X15" s="27">
        <v>12.48</v>
      </c>
      <c r="Y15" s="27">
        <f t="shared" si="1"/>
        <v>0</v>
      </c>
      <c r="Z15" s="14">
        <f t="shared" si="2"/>
        <v>3.1782407407407412E-2</v>
      </c>
      <c r="AA15" s="32"/>
      <c r="AB15"/>
      <c r="AC15" s="3"/>
      <c r="AN15" s="37"/>
    </row>
    <row r="16" spans="1:40" x14ac:dyDescent="0.25">
      <c r="A16" s="18"/>
      <c r="B16" s="17">
        <v>40972</v>
      </c>
      <c r="C16" s="34" t="s">
        <v>27</v>
      </c>
      <c r="D16" s="19">
        <v>22</v>
      </c>
      <c r="E16" s="20">
        <v>23.21</v>
      </c>
      <c r="F16" s="21">
        <v>0.24027777777777778</v>
      </c>
      <c r="G16" s="22">
        <v>0.21597222222222223</v>
      </c>
      <c r="H16" s="23">
        <v>8.3472222222222225E-2</v>
      </c>
      <c r="I16" s="18"/>
      <c r="J16" s="20"/>
      <c r="K16" s="18"/>
      <c r="L16" s="20"/>
      <c r="M16" s="18"/>
      <c r="N16" s="45"/>
      <c r="O16" s="31"/>
      <c r="P16" s="42"/>
      <c r="Q16" s="18"/>
      <c r="R16" s="20"/>
      <c r="S16" s="24"/>
      <c r="T16" s="18"/>
      <c r="U16" s="20"/>
      <c r="V16" s="24"/>
      <c r="W16" s="20">
        <f t="shared" si="0"/>
        <v>23.21</v>
      </c>
      <c r="X16" s="18">
        <v>22</v>
      </c>
      <c r="Y16" s="18">
        <f t="shared" si="1"/>
        <v>1.2100000000000009</v>
      </c>
      <c r="Z16" s="22">
        <f t="shared" si="2"/>
        <v>8.3472222222222225E-2</v>
      </c>
      <c r="AA16" s="33">
        <f>SUM(W14:W16)</f>
        <v>49.1</v>
      </c>
      <c r="AB16" s="21">
        <f>SUM(Z14:Z16)</f>
        <v>0.16589120370370369</v>
      </c>
      <c r="AC16" s="19"/>
      <c r="AD16" s="36"/>
      <c r="AE16" s="18"/>
      <c r="AF16" s="36"/>
      <c r="AG16" s="18"/>
      <c r="AH16" s="36"/>
      <c r="AI16" s="18"/>
      <c r="AJ16" s="36"/>
      <c r="AK16" s="18"/>
      <c r="AL16" s="36"/>
      <c r="AM16" s="18"/>
      <c r="AN16" s="38"/>
    </row>
    <row r="17" spans="1:40" x14ac:dyDescent="0.25">
      <c r="B17" s="1">
        <v>40974</v>
      </c>
      <c r="C17" s="27" t="s">
        <v>24</v>
      </c>
      <c r="D17" s="3">
        <v>12</v>
      </c>
      <c r="E17" s="13">
        <f>12-0.8</f>
        <v>11.2</v>
      </c>
      <c r="F17" s="2">
        <v>0.24027777777777778</v>
      </c>
      <c r="G17" s="14">
        <v>0.21041666666666667</v>
      </c>
      <c r="H17" s="47">
        <v>3.8819444444444441E-2</v>
      </c>
      <c r="I17">
        <v>2</v>
      </c>
      <c r="J17" s="13">
        <v>4.12</v>
      </c>
      <c r="K17" s="2"/>
      <c r="L17" s="14">
        <v>0.22569444444444445</v>
      </c>
      <c r="M17" s="26">
        <v>1.5509259259259257E-2</v>
      </c>
      <c r="N17" s="44"/>
      <c r="O17" s="30" t="s">
        <v>30</v>
      </c>
      <c r="P17" s="41">
        <v>0.8</v>
      </c>
      <c r="Q17" s="2"/>
      <c r="R17" s="14">
        <v>0.13958333333333334</v>
      </c>
      <c r="S17" s="15">
        <v>1.8518518518518517E-3</v>
      </c>
      <c r="V17" s="4"/>
      <c r="W17" s="13">
        <f t="shared" si="0"/>
        <v>16.12</v>
      </c>
      <c r="X17" s="27">
        <v>14</v>
      </c>
      <c r="Y17" s="27">
        <f t="shared" si="1"/>
        <v>2.120000000000001</v>
      </c>
      <c r="Z17" s="14">
        <f t="shared" si="2"/>
        <v>5.6180555555555553E-2</v>
      </c>
      <c r="AA17" s="32"/>
      <c r="AB17"/>
      <c r="AC17" s="3">
        <v>82</v>
      </c>
      <c r="AD17" s="9">
        <f>AC17-$AC$2</f>
        <v>-3.7000000000000028</v>
      </c>
      <c r="AE17">
        <v>40</v>
      </c>
      <c r="AF17" s="9">
        <f>AE17-$AE$2</f>
        <v>-3</v>
      </c>
      <c r="AG17">
        <v>60</v>
      </c>
      <c r="AH17" s="9">
        <f>AG17-$AG$2</f>
        <v>-1</v>
      </c>
      <c r="AI17">
        <v>95</v>
      </c>
      <c r="AJ17" s="9">
        <f>AI17-$AI$2</f>
        <v>0</v>
      </c>
      <c r="AK17">
        <v>31</v>
      </c>
      <c r="AL17" s="9">
        <f>AK17-$AK$2</f>
        <v>-2</v>
      </c>
      <c r="AM17">
        <v>41</v>
      </c>
      <c r="AN17" s="39">
        <f>AM17-$AM$2</f>
        <v>-1</v>
      </c>
    </row>
    <row r="18" spans="1:40" x14ac:dyDescent="0.25">
      <c r="A18" s="6">
        <v>6</v>
      </c>
      <c r="B18" s="1">
        <v>40976</v>
      </c>
      <c r="C18" s="27" t="s">
        <v>26</v>
      </c>
      <c r="D18" s="3"/>
      <c r="H18" s="4"/>
      <c r="I18">
        <v>4</v>
      </c>
      <c r="J18" s="13">
        <f>2+2.38</f>
        <v>4.38</v>
      </c>
      <c r="K18" s="2">
        <v>0.24722222222222223</v>
      </c>
      <c r="L18" s="14">
        <v>0.20972222222222223</v>
      </c>
      <c r="M18" s="26">
        <v>1.5243055555555557E-2</v>
      </c>
      <c r="N18" s="44">
        <v>0.93</v>
      </c>
      <c r="O18" s="30" t="s">
        <v>31</v>
      </c>
      <c r="P18" s="41">
        <f>5*1.5</f>
        <v>7.5</v>
      </c>
      <c r="Q18" s="2">
        <v>0.19305555555555554</v>
      </c>
      <c r="R18" s="14">
        <v>0.17986111111111111</v>
      </c>
      <c r="S18" s="15">
        <v>2.2442129629629631E-2</v>
      </c>
      <c r="V18" s="4"/>
      <c r="W18" s="13">
        <f t="shared" si="0"/>
        <v>12.809999999999999</v>
      </c>
      <c r="X18">
        <f>7.5+2+2+0.93</f>
        <v>12.43</v>
      </c>
      <c r="Y18" s="27">
        <f t="shared" si="1"/>
        <v>0.37999999999999901</v>
      </c>
      <c r="Z18" s="14">
        <f t="shared" si="2"/>
        <v>3.768518518518519E-2</v>
      </c>
      <c r="AA18" s="32"/>
      <c r="AB18"/>
      <c r="AC18" s="3"/>
      <c r="AN18" s="37"/>
    </row>
    <row r="19" spans="1:40" x14ac:dyDescent="0.25">
      <c r="A19" s="56"/>
      <c r="B19" s="17">
        <v>40979</v>
      </c>
      <c r="C19" s="34" t="s">
        <v>27</v>
      </c>
      <c r="D19" s="19">
        <v>24</v>
      </c>
      <c r="E19" s="20">
        <v>26.31</v>
      </c>
      <c r="F19" s="21">
        <v>0.24027777777777778</v>
      </c>
      <c r="G19" s="22">
        <v>0.20902777777777778</v>
      </c>
      <c r="H19" s="23">
        <v>9.1805555555555543E-2</v>
      </c>
      <c r="I19" s="18"/>
      <c r="J19" s="20"/>
      <c r="K19" s="18"/>
      <c r="L19" s="20"/>
      <c r="M19" s="18"/>
      <c r="N19" s="45"/>
      <c r="O19" s="31"/>
      <c r="P19" s="42"/>
      <c r="Q19" s="18"/>
      <c r="R19" s="20"/>
      <c r="S19" s="24"/>
      <c r="T19" s="18"/>
      <c r="U19" s="20"/>
      <c r="V19" s="24"/>
      <c r="W19" s="20">
        <f t="shared" si="0"/>
        <v>26.31</v>
      </c>
      <c r="X19" s="18">
        <v>24</v>
      </c>
      <c r="Y19" s="34">
        <f t="shared" si="1"/>
        <v>2.3099999999999987</v>
      </c>
      <c r="Z19" s="22">
        <f t="shared" si="2"/>
        <v>9.1805555555555543E-2</v>
      </c>
      <c r="AA19" s="33">
        <f>SUM(W17:W19)</f>
        <v>55.239999999999995</v>
      </c>
      <c r="AB19" s="21">
        <f>SUM(Z17:Z19)</f>
        <v>0.18567129629629631</v>
      </c>
      <c r="AC19" s="19"/>
      <c r="AD19" s="36"/>
      <c r="AE19" s="18"/>
      <c r="AF19" s="36"/>
      <c r="AG19" s="18"/>
      <c r="AH19" s="36"/>
      <c r="AI19" s="18"/>
      <c r="AJ19" s="36"/>
      <c r="AK19" s="18"/>
      <c r="AL19" s="36"/>
      <c r="AM19" s="18"/>
      <c r="AN19" s="38"/>
    </row>
    <row r="20" spans="1:40" x14ac:dyDescent="0.25">
      <c r="A20" s="6"/>
      <c r="B20" s="1">
        <v>40981</v>
      </c>
      <c r="C20" s="27" t="s">
        <v>24</v>
      </c>
      <c r="D20" s="3">
        <v>18</v>
      </c>
      <c r="E20" s="13">
        <v>18</v>
      </c>
      <c r="F20" s="2">
        <v>0.24027777777777778</v>
      </c>
      <c r="G20" s="14">
        <v>0.21597222222222223</v>
      </c>
      <c r="H20" s="15">
        <v>6.4861111111111105E-2</v>
      </c>
      <c r="M20" s="11"/>
      <c r="N20" s="44"/>
      <c r="S20" s="4"/>
      <c r="V20" s="4"/>
      <c r="W20" s="13">
        <f t="shared" si="0"/>
        <v>18</v>
      </c>
      <c r="X20" s="27">
        <v>18</v>
      </c>
      <c r="Y20" s="27">
        <f t="shared" si="1"/>
        <v>0</v>
      </c>
      <c r="Z20" s="14">
        <f t="shared" si="2"/>
        <v>6.4861111111111105E-2</v>
      </c>
      <c r="AA20" s="32"/>
      <c r="AB20"/>
      <c r="AC20" s="3">
        <v>83.7</v>
      </c>
      <c r="AD20" s="9">
        <f>AC20-$AC$2</f>
        <v>-2</v>
      </c>
      <c r="AE20">
        <v>39</v>
      </c>
      <c r="AF20" s="9">
        <f>AE20-$AE$2</f>
        <v>-4</v>
      </c>
      <c r="AG20">
        <v>59</v>
      </c>
      <c r="AH20" s="9">
        <f>AG20-$AG$2</f>
        <v>-2</v>
      </c>
      <c r="AI20">
        <v>94</v>
      </c>
      <c r="AJ20" s="9">
        <f>AI20-$AI$2</f>
        <v>-1</v>
      </c>
      <c r="AK20">
        <v>29</v>
      </c>
      <c r="AL20" s="9">
        <f>AK20-$AK$2</f>
        <v>-4</v>
      </c>
      <c r="AM20">
        <v>40</v>
      </c>
      <c r="AN20" s="37">
        <f>AM20-$AM$2</f>
        <v>-2</v>
      </c>
    </row>
    <row r="21" spans="1:40" x14ac:dyDescent="0.25">
      <c r="A21" s="6">
        <v>7</v>
      </c>
      <c r="B21" s="1">
        <v>40983</v>
      </c>
      <c r="C21" s="27" t="s">
        <v>26</v>
      </c>
      <c r="D21" s="3"/>
      <c r="H21" s="15"/>
      <c r="I21">
        <v>4</v>
      </c>
      <c r="J21" s="13">
        <v>3.33</v>
      </c>
      <c r="K21" s="2">
        <v>0.24027777777777778</v>
      </c>
      <c r="L21" s="14">
        <v>0.2076388888888889</v>
      </c>
      <c r="M21" s="26">
        <v>1.1377314814814814E-2</v>
      </c>
      <c r="N21" s="44">
        <v>2.67</v>
      </c>
      <c r="O21" s="30" t="s">
        <v>28</v>
      </c>
      <c r="P21" s="41">
        <v>6</v>
      </c>
      <c r="Q21" s="2">
        <v>0.17708333333333334</v>
      </c>
      <c r="R21" s="14">
        <v>0.16805555555555554</v>
      </c>
      <c r="S21" s="15">
        <v>1.6793981481481483E-2</v>
      </c>
      <c r="V21" s="4"/>
      <c r="W21" s="13">
        <f t="shared" si="0"/>
        <v>12</v>
      </c>
      <c r="X21" s="46">
        <f>I21+P21+2.67</f>
        <v>12.67</v>
      </c>
      <c r="Y21" s="27">
        <f t="shared" si="1"/>
        <v>-0.66999999999999993</v>
      </c>
      <c r="Z21" s="14">
        <f t="shared" si="2"/>
        <v>2.8171296296296298E-2</v>
      </c>
      <c r="AA21" s="32"/>
      <c r="AB21"/>
      <c r="AC21" s="3"/>
      <c r="AN21" s="37"/>
    </row>
    <row r="22" spans="1:40" x14ac:dyDescent="0.25">
      <c r="A22" s="56"/>
      <c r="B22" s="17">
        <v>40986</v>
      </c>
      <c r="C22" s="34" t="s">
        <v>27</v>
      </c>
      <c r="D22" s="19">
        <v>26</v>
      </c>
      <c r="E22" s="20">
        <v>25.22</v>
      </c>
      <c r="F22" s="21">
        <v>0.24027777777777778</v>
      </c>
      <c r="G22" s="22">
        <v>0.20902777777777778</v>
      </c>
      <c r="H22" s="23">
        <v>8.7939814814814818E-2</v>
      </c>
      <c r="I22" s="18"/>
      <c r="J22" s="20"/>
      <c r="K22" s="18"/>
      <c r="L22" s="20"/>
      <c r="M22" s="18"/>
      <c r="N22" s="45"/>
      <c r="O22" s="31"/>
      <c r="P22" s="42"/>
      <c r="Q22" s="18"/>
      <c r="R22" s="20"/>
      <c r="S22" s="24"/>
      <c r="T22" s="18"/>
      <c r="U22" s="20"/>
      <c r="V22" s="24"/>
      <c r="W22" s="20">
        <f t="shared" si="0"/>
        <v>25.22</v>
      </c>
      <c r="X22" s="18">
        <v>26</v>
      </c>
      <c r="Y22" s="34">
        <f t="shared" si="1"/>
        <v>-0.78000000000000114</v>
      </c>
      <c r="Z22" s="22">
        <f t="shared" si="2"/>
        <v>8.7939814814814818E-2</v>
      </c>
      <c r="AA22" s="33">
        <f>SUM(W20:W22)</f>
        <v>55.22</v>
      </c>
      <c r="AB22" s="21">
        <f>SUM(Z20:Z22)</f>
        <v>0.1809722222222222</v>
      </c>
      <c r="AC22" s="19"/>
      <c r="AD22" s="36"/>
      <c r="AE22" s="18"/>
      <c r="AF22" s="36"/>
      <c r="AG22" s="18"/>
      <c r="AH22" s="36"/>
      <c r="AI22" s="18"/>
      <c r="AJ22" s="36"/>
      <c r="AK22" s="18"/>
      <c r="AL22" s="36"/>
      <c r="AM22" s="18"/>
      <c r="AN22" s="38"/>
    </row>
    <row r="23" spans="1:40" x14ac:dyDescent="0.25">
      <c r="A23" s="10"/>
      <c r="B23" s="49">
        <v>40988</v>
      </c>
      <c r="C23" s="27" t="s">
        <v>24</v>
      </c>
      <c r="D23" s="3">
        <v>14</v>
      </c>
      <c r="E23" s="50">
        <v>13.11</v>
      </c>
      <c r="F23" s="51">
        <v>0.24027777777777778</v>
      </c>
      <c r="G23" s="52">
        <v>0.20555555555555557</v>
      </c>
      <c r="H23" s="15">
        <v>4.4953703703703697E-2</v>
      </c>
      <c r="I23" s="11"/>
      <c r="J23" s="50"/>
      <c r="K23" s="11"/>
      <c r="L23" s="50"/>
      <c r="M23" s="11"/>
      <c r="N23" s="44"/>
      <c r="O23" s="53"/>
      <c r="P23" s="54"/>
      <c r="Q23" s="11"/>
      <c r="R23" s="50"/>
      <c r="S23" s="4"/>
      <c r="T23" s="11"/>
      <c r="U23" s="50"/>
      <c r="V23" s="4"/>
      <c r="W23" s="13">
        <f t="shared" ref="W23:W49" si="3">E23+J23+P23+T23+N23</f>
        <v>13.11</v>
      </c>
      <c r="X23">
        <v>14</v>
      </c>
      <c r="Y23" s="27">
        <f t="shared" ref="Y23:Y50" si="4">W23-X23</f>
        <v>-0.89000000000000057</v>
      </c>
      <c r="Z23" s="14">
        <f t="shared" si="2"/>
        <v>4.4953703703703697E-2</v>
      </c>
      <c r="AA23" s="32"/>
      <c r="AB23" s="51"/>
      <c r="AC23" s="3">
        <v>83.3</v>
      </c>
      <c r="AD23" s="9">
        <f>AC23-$AC$2</f>
        <v>-2.4000000000000057</v>
      </c>
      <c r="AE23">
        <v>40</v>
      </c>
      <c r="AF23" s="9">
        <f>AE23-$AE$2</f>
        <v>-3</v>
      </c>
      <c r="AG23">
        <v>59</v>
      </c>
      <c r="AH23" s="9">
        <f>AG23-$AG$2</f>
        <v>-2</v>
      </c>
      <c r="AI23">
        <v>92</v>
      </c>
      <c r="AJ23" s="9">
        <f>AI23-$AI$2</f>
        <v>-3</v>
      </c>
      <c r="AK23">
        <v>29</v>
      </c>
      <c r="AL23" s="9">
        <f>AK23-$AK$2</f>
        <v>-4</v>
      </c>
      <c r="AM23">
        <v>41</v>
      </c>
      <c r="AN23" s="37">
        <f>AM23-$AM$2</f>
        <v>-1</v>
      </c>
    </row>
    <row r="24" spans="1:40" x14ac:dyDescent="0.25">
      <c r="A24" s="10">
        <v>8</v>
      </c>
      <c r="B24" s="49">
        <v>40990</v>
      </c>
      <c r="C24" s="27" t="s">
        <v>26</v>
      </c>
      <c r="D24" s="3"/>
      <c r="E24" s="50"/>
      <c r="F24" s="51"/>
      <c r="G24" s="52"/>
      <c r="H24" s="15"/>
      <c r="I24" s="11">
        <v>3</v>
      </c>
      <c r="J24" s="50">
        <v>3.21</v>
      </c>
      <c r="K24" s="51">
        <v>0.24027777777777778</v>
      </c>
      <c r="L24" s="52">
        <v>0.22916666666666666</v>
      </c>
      <c r="M24" s="26">
        <v>1.2025462962962962E-2</v>
      </c>
      <c r="N24" s="44"/>
      <c r="O24" s="53"/>
      <c r="P24" s="54"/>
      <c r="Q24" s="11"/>
      <c r="R24" s="50"/>
      <c r="S24" s="4"/>
      <c r="T24" s="11">
        <v>5</v>
      </c>
      <c r="U24" s="52">
        <v>0.17083333333333331</v>
      </c>
      <c r="V24" s="15">
        <v>1.4236111111111111E-2</v>
      </c>
      <c r="W24" s="13">
        <f t="shared" si="3"/>
        <v>8.2100000000000009</v>
      </c>
      <c r="X24" s="46">
        <f>T24+I24+D24</f>
        <v>8</v>
      </c>
      <c r="Y24" s="27">
        <f t="shared" si="4"/>
        <v>0.21000000000000085</v>
      </c>
      <c r="Z24" s="14">
        <f t="shared" si="2"/>
        <v>2.6261574074074073E-2</v>
      </c>
      <c r="AA24" s="32"/>
      <c r="AB24" s="51"/>
      <c r="AC24" s="3"/>
      <c r="AD24" s="55"/>
      <c r="AE24" s="11"/>
      <c r="AF24" s="55"/>
      <c r="AG24" s="11"/>
      <c r="AH24" s="55"/>
      <c r="AI24" s="11"/>
      <c r="AJ24" s="55"/>
      <c r="AK24" s="11"/>
      <c r="AL24" s="55"/>
      <c r="AM24" s="11"/>
      <c r="AN24" s="37"/>
    </row>
    <row r="25" spans="1:40" x14ac:dyDescent="0.25">
      <c r="A25" s="56"/>
      <c r="B25" s="17">
        <v>40992</v>
      </c>
      <c r="C25" s="34" t="s">
        <v>18</v>
      </c>
      <c r="D25" s="19">
        <v>16</v>
      </c>
      <c r="E25" s="20">
        <v>21.1</v>
      </c>
      <c r="F25" s="21">
        <v>0.22569444444444445</v>
      </c>
      <c r="G25" s="22">
        <v>0.19930555555555554</v>
      </c>
      <c r="H25" s="23">
        <v>7.0289351851851853E-2</v>
      </c>
      <c r="I25" s="18"/>
      <c r="J25" s="20"/>
      <c r="K25" s="18"/>
      <c r="L25" s="20"/>
      <c r="M25" s="18"/>
      <c r="N25" s="45"/>
      <c r="O25" s="31"/>
      <c r="P25" s="42"/>
      <c r="Q25" s="18"/>
      <c r="R25" s="20"/>
      <c r="S25" s="24"/>
      <c r="T25" s="18"/>
      <c r="U25" s="20"/>
      <c r="V25" s="24"/>
      <c r="W25" s="20">
        <f t="shared" si="3"/>
        <v>21.1</v>
      </c>
      <c r="X25" s="57">
        <f>T25+I25+D25</f>
        <v>16</v>
      </c>
      <c r="Y25" s="34">
        <f t="shared" si="4"/>
        <v>5.1000000000000014</v>
      </c>
      <c r="Z25" s="22">
        <f t="shared" si="2"/>
        <v>7.0289351851851853E-2</v>
      </c>
      <c r="AA25" s="33">
        <f>SUM(W23:W25)</f>
        <v>42.42</v>
      </c>
      <c r="AB25" s="21">
        <f>SUM(Z23:Z25)</f>
        <v>0.14150462962962962</v>
      </c>
      <c r="AC25" s="19"/>
      <c r="AD25" s="36"/>
      <c r="AE25" s="18"/>
      <c r="AF25" s="36"/>
      <c r="AG25" s="18"/>
      <c r="AH25" s="36"/>
      <c r="AI25" s="18"/>
      <c r="AJ25" s="36"/>
      <c r="AK25" s="18"/>
      <c r="AL25" s="36"/>
      <c r="AM25" s="18"/>
      <c r="AN25" s="38"/>
    </row>
    <row r="26" spans="1:40" x14ac:dyDescent="0.25">
      <c r="A26" s="10"/>
      <c r="B26" s="49">
        <v>40995</v>
      </c>
      <c r="C26" s="27" t="s">
        <v>24</v>
      </c>
      <c r="D26" s="3">
        <v>16</v>
      </c>
      <c r="E26" s="50">
        <v>16.010000000000002</v>
      </c>
      <c r="F26" s="51">
        <v>0.22569444444444445</v>
      </c>
      <c r="G26" s="52">
        <v>0.20208333333333331</v>
      </c>
      <c r="H26" s="15">
        <v>5.393518518518519E-2</v>
      </c>
      <c r="I26" s="11"/>
      <c r="J26" s="50"/>
      <c r="K26" s="11"/>
      <c r="L26" s="50"/>
      <c r="M26" s="11"/>
      <c r="N26" s="44"/>
      <c r="O26" s="53"/>
      <c r="P26" s="54"/>
      <c r="Q26" s="11"/>
      <c r="R26" s="50"/>
      <c r="S26" s="4"/>
      <c r="T26" s="11"/>
      <c r="U26" s="50"/>
      <c r="V26" s="4"/>
      <c r="W26" s="13">
        <f t="shared" si="3"/>
        <v>16.010000000000002</v>
      </c>
      <c r="X26" s="46">
        <f>T26+I26+D26</f>
        <v>16</v>
      </c>
      <c r="Y26" s="27">
        <f t="shared" si="4"/>
        <v>1.0000000000001563E-2</v>
      </c>
      <c r="Z26" s="14">
        <f t="shared" si="2"/>
        <v>5.393518518518519E-2</v>
      </c>
      <c r="AA26" s="32"/>
      <c r="AB26" s="51"/>
      <c r="AC26" s="3">
        <v>82.6</v>
      </c>
      <c r="AD26" s="9">
        <f>AC26-$AC$2</f>
        <v>-3.1000000000000085</v>
      </c>
      <c r="AE26">
        <v>40</v>
      </c>
      <c r="AF26" s="9">
        <f>AE26-$AE$2</f>
        <v>-3</v>
      </c>
      <c r="AG26">
        <v>60</v>
      </c>
      <c r="AH26" s="9">
        <f>AG26-$AG$2</f>
        <v>-1</v>
      </c>
      <c r="AI26">
        <v>93</v>
      </c>
      <c r="AJ26" s="9">
        <f>AI26-$AI$2</f>
        <v>-2</v>
      </c>
      <c r="AK26">
        <v>31</v>
      </c>
      <c r="AL26" s="9">
        <f>AK26-$AK$2</f>
        <v>-2</v>
      </c>
      <c r="AM26">
        <v>41</v>
      </c>
      <c r="AN26" s="37">
        <f>AM26-$AM$2</f>
        <v>-1</v>
      </c>
    </row>
    <row r="27" spans="1:40" x14ac:dyDescent="0.25">
      <c r="A27" s="10">
        <v>9</v>
      </c>
      <c r="B27" s="49">
        <v>40997</v>
      </c>
      <c r="C27" s="27" t="s">
        <v>26</v>
      </c>
      <c r="D27" s="3"/>
      <c r="E27" s="50"/>
      <c r="F27" s="51"/>
      <c r="G27" s="52"/>
      <c r="H27" s="15"/>
      <c r="I27" s="11">
        <v>4</v>
      </c>
      <c r="J27" s="50">
        <v>4.49</v>
      </c>
      <c r="K27" s="51">
        <v>0.22569444444444445</v>
      </c>
      <c r="L27" s="52">
        <v>0.1986111111111111</v>
      </c>
      <c r="M27" s="26">
        <v>1.4872685185185185E-2</v>
      </c>
      <c r="N27" s="44">
        <v>1.04</v>
      </c>
      <c r="O27" s="53" t="s">
        <v>31</v>
      </c>
      <c r="P27" s="54">
        <v>7.5</v>
      </c>
      <c r="Q27" s="51">
        <v>0.18055555555555555</v>
      </c>
      <c r="R27" s="52">
        <v>0.17361111111111113</v>
      </c>
      <c r="S27" s="15">
        <v>2.1712962962962962E-2</v>
      </c>
      <c r="T27" s="11"/>
      <c r="U27" s="50"/>
      <c r="V27" s="4"/>
      <c r="W27" s="13">
        <f t="shared" si="3"/>
        <v>13.030000000000001</v>
      </c>
      <c r="X27" s="46">
        <f>T27+I27+D27+P27+1.04</f>
        <v>12.54</v>
      </c>
      <c r="Y27" s="27">
        <f t="shared" si="4"/>
        <v>0.49000000000000199</v>
      </c>
      <c r="Z27" s="14">
        <f t="shared" si="2"/>
        <v>3.6585648148148145E-2</v>
      </c>
      <c r="AA27" s="32"/>
      <c r="AB27" s="51"/>
      <c r="AC27" s="3"/>
      <c r="AD27" s="55"/>
      <c r="AE27" s="11"/>
      <c r="AF27" s="55"/>
      <c r="AG27" s="11"/>
      <c r="AH27" s="55"/>
      <c r="AI27" s="11"/>
      <c r="AJ27" s="55"/>
      <c r="AK27" s="11"/>
      <c r="AL27" s="55"/>
      <c r="AM27" s="11"/>
      <c r="AN27" s="37"/>
    </row>
    <row r="28" spans="1:40" x14ac:dyDescent="0.25">
      <c r="A28" s="56"/>
      <c r="B28" s="17">
        <v>41000</v>
      </c>
      <c r="C28" s="34" t="s">
        <v>27</v>
      </c>
      <c r="D28" s="19">
        <v>24</v>
      </c>
      <c r="E28" s="20">
        <v>24</v>
      </c>
      <c r="F28" s="21">
        <v>0.22569444444444445</v>
      </c>
      <c r="G28" s="22">
        <v>0.20416666666666669</v>
      </c>
      <c r="H28" s="23">
        <v>8.1655092592592585E-2</v>
      </c>
      <c r="I28" s="18"/>
      <c r="J28" s="20"/>
      <c r="K28" s="18"/>
      <c r="L28" s="20"/>
      <c r="M28" s="18"/>
      <c r="N28" s="45"/>
      <c r="O28" s="31"/>
      <c r="P28" s="42"/>
      <c r="Q28" s="18"/>
      <c r="R28" s="20"/>
      <c r="S28" s="24"/>
      <c r="T28" s="18"/>
      <c r="U28" s="20"/>
      <c r="V28" s="24"/>
      <c r="W28" s="20">
        <f t="shared" si="3"/>
        <v>24</v>
      </c>
      <c r="X28" s="57">
        <f>T28+I28+D28+P28</f>
        <v>24</v>
      </c>
      <c r="Y28" s="34">
        <f t="shared" si="4"/>
        <v>0</v>
      </c>
      <c r="Z28" s="58">
        <f t="shared" si="2"/>
        <v>8.1655092592592585E-2</v>
      </c>
      <c r="AA28" s="33">
        <f>SUM(W26:W28)</f>
        <v>53.040000000000006</v>
      </c>
      <c r="AB28" s="21">
        <f>SUM(Z26:Z28)</f>
        <v>0.1721759259259259</v>
      </c>
      <c r="AC28" s="19"/>
      <c r="AD28" s="36"/>
      <c r="AE28" s="18"/>
      <c r="AF28" s="36"/>
      <c r="AG28" s="18"/>
      <c r="AH28" s="36"/>
      <c r="AI28" s="18"/>
      <c r="AJ28" s="36"/>
      <c r="AK28" s="18"/>
      <c r="AL28" s="36"/>
      <c r="AM28" s="18"/>
      <c r="AN28" s="38"/>
    </row>
    <row r="29" spans="1:40" x14ac:dyDescent="0.25">
      <c r="A29" s="10"/>
      <c r="B29" s="49">
        <v>41002</v>
      </c>
      <c r="C29" s="27" t="s">
        <v>24</v>
      </c>
      <c r="D29" s="3">
        <v>18</v>
      </c>
      <c r="E29" s="50">
        <v>18.7</v>
      </c>
      <c r="F29" s="51">
        <v>0.22569444444444445</v>
      </c>
      <c r="G29" s="52">
        <v>0.20833333333333334</v>
      </c>
      <c r="H29" s="15">
        <v>6.4861111111111105E-2</v>
      </c>
      <c r="I29" s="11"/>
      <c r="J29" s="50"/>
      <c r="K29" s="11"/>
      <c r="L29" s="50"/>
      <c r="M29" s="11"/>
      <c r="N29" s="44"/>
      <c r="O29" s="53"/>
      <c r="P29" s="54"/>
      <c r="Q29" s="11"/>
      <c r="R29" s="50"/>
      <c r="S29" s="4"/>
      <c r="T29" s="11"/>
      <c r="U29" s="50"/>
      <c r="V29" s="4"/>
      <c r="W29" s="13">
        <f t="shared" si="3"/>
        <v>18.7</v>
      </c>
      <c r="X29" s="46">
        <f>T29+I29+D29+P29</f>
        <v>18</v>
      </c>
      <c r="Y29" s="27">
        <f t="shared" si="4"/>
        <v>0.69999999999999929</v>
      </c>
      <c r="Z29" s="14">
        <f t="shared" si="2"/>
        <v>6.4861111111111105E-2</v>
      </c>
      <c r="AA29" s="32"/>
      <c r="AB29" s="51"/>
      <c r="AC29" s="3">
        <v>81.599999999999994</v>
      </c>
      <c r="AD29" s="9">
        <f>AC29-$AC$2</f>
        <v>-4.1000000000000085</v>
      </c>
      <c r="AE29">
        <v>39</v>
      </c>
      <c r="AF29" s="9">
        <f>AE29-$AE$2</f>
        <v>-4</v>
      </c>
      <c r="AG29">
        <v>59</v>
      </c>
      <c r="AH29" s="9">
        <f>AG29-$AG$2</f>
        <v>-2</v>
      </c>
      <c r="AI29">
        <v>93</v>
      </c>
      <c r="AJ29" s="9">
        <f>AI29-$AI$2</f>
        <v>-2</v>
      </c>
      <c r="AK29">
        <v>31</v>
      </c>
      <c r="AL29" s="9">
        <f>AK29-$AK$2</f>
        <v>-2</v>
      </c>
      <c r="AM29">
        <v>41</v>
      </c>
      <c r="AN29" s="37">
        <f>AM29-$AM$2</f>
        <v>-1</v>
      </c>
    </row>
    <row r="30" spans="1:40" x14ac:dyDescent="0.25">
      <c r="A30" s="10">
        <v>10</v>
      </c>
      <c r="B30" s="49">
        <v>41004</v>
      </c>
      <c r="C30" s="27" t="s">
        <v>26</v>
      </c>
      <c r="D30" s="3"/>
      <c r="E30" s="50"/>
      <c r="F30" s="51"/>
      <c r="G30" s="52"/>
      <c r="H30" s="15"/>
      <c r="I30" s="11">
        <v>4</v>
      </c>
      <c r="J30" s="50">
        <v>3.68</v>
      </c>
      <c r="K30" s="51">
        <v>0.22569444444444445</v>
      </c>
      <c r="L30" s="52">
        <v>0.19791666666666666</v>
      </c>
      <c r="M30" s="26">
        <v>1.2858796296296297E-2</v>
      </c>
      <c r="N30" s="44">
        <v>0.82</v>
      </c>
      <c r="O30" s="53" t="s">
        <v>32</v>
      </c>
      <c r="P30" s="54">
        <v>8</v>
      </c>
      <c r="Q30" s="51">
        <v>0.18055555555555555</v>
      </c>
      <c r="R30" s="52">
        <v>0.1763888888888889</v>
      </c>
      <c r="S30" s="15">
        <v>2.3530092592592592E-2</v>
      </c>
      <c r="T30" s="11"/>
      <c r="U30" s="50"/>
      <c r="V30" s="4"/>
      <c r="W30" s="13">
        <f t="shared" si="3"/>
        <v>12.5</v>
      </c>
      <c r="X30" s="46">
        <f>T30+I30+D30+P30</f>
        <v>12</v>
      </c>
      <c r="Y30" s="27">
        <f t="shared" si="4"/>
        <v>0.5</v>
      </c>
      <c r="Z30" s="14">
        <f t="shared" si="2"/>
        <v>3.6388888888888887E-2</v>
      </c>
      <c r="AA30" s="32"/>
      <c r="AB30" s="51"/>
      <c r="AC30" s="3"/>
      <c r="AD30" s="55"/>
      <c r="AE30" s="11"/>
      <c r="AF30" s="55"/>
      <c r="AG30" s="11"/>
      <c r="AH30" s="55"/>
      <c r="AI30" s="11"/>
      <c r="AJ30" s="55"/>
      <c r="AK30" s="11"/>
      <c r="AL30" s="55"/>
      <c r="AM30" s="11"/>
      <c r="AN30" s="37"/>
    </row>
    <row r="31" spans="1:40" x14ac:dyDescent="0.25">
      <c r="A31" s="56"/>
      <c r="B31" s="17">
        <v>41006</v>
      </c>
      <c r="C31" s="34" t="s">
        <v>18</v>
      </c>
      <c r="D31" s="19">
        <v>26</v>
      </c>
      <c r="E31" s="20">
        <v>26.29</v>
      </c>
      <c r="F31" s="21">
        <v>0.22569444444444445</v>
      </c>
      <c r="G31" s="22">
        <v>0.21180555555555555</v>
      </c>
      <c r="H31" s="23">
        <v>9.2754629629629617E-2</v>
      </c>
      <c r="I31" s="18"/>
      <c r="J31" s="20"/>
      <c r="K31" s="18"/>
      <c r="L31" s="20"/>
      <c r="M31" s="18"/>
      <c r="N31" s="45"/>
      <c r="O31" s="31"/>
      <c r="P31" s="42"/>
      <c r="Q31" s="18"/>
      <c r="R31" s="20"/>
      <c r="S31" s="24"/>
      <c r="T31" s="18"/>
      <c r="U31" s="20"/>
      <c r="V31" s="24"/>
      <c r="W31" s="20">
        <f t="shared" si="3"/>
        <v>26.29</v>
      </c>
      <c r="X31" s="57">
        <f t="shared" ref="X31:X41" si="5">T31+I31+D31+P31</f>
        <v>26</v>
      </c>
      <c r="Y31" s="34">
        <f t="shared" si="4"/>
        <v>0.28999999999999915</v>
      </c>
      <c r="Z31" s="22">
        <f t="shared" si="2"/>
        <v>9.2754629629629617E-2</v>
      </c>
      <c r="AA31" s="33">
        <f>SUM(W29:W31)</f>
        <v>57.489999999999995</v>
      </c>
      <c r="AB31" s="21">
        <f>SUM(Z29:Z31)</f>
        <v>0.19400462962962961</v>
      </c>
      <c r="AC31" s="19"/>
      <c r="AD31" s="36"/>
      <c r="AE31" s="18"/>
      <c r="AF31" s="36"/>
      <c r="AG31" s="18"/>
      <c r="AH31" s="36"/>
      <c r="AI31" s="18"/>
      <c r="AJ31" s="36"/>
      <c r="AK31" s="18"/>
      <c r="AL31" s="36"/>
      <c r="AM31" s="18"/>
      <c r="AN31" s="38"/>
    </row>
    <row r="32" spans="1:40" x14ac:dyDescent="0.25">
      <c r="A32" s="10"/>
      <c r="B32" s="49">
        <v>41009</v>
      </c>
      <c r="C32" s="27" t="s">
        <v>24</v>
      </c>
      <c r="D32" s="3">
        <v>18</v>
      </c>
      <c r="E32" s="50">
        <v>18.97</v>
      </c>
      <c r="F32" s="51">
        <v>0.22569444444444445</v>
      </c>
      <c r="G32" s="52">
        <v>0.20972222222222223</v>
      </c>
      <c r="H32" s="15">
        <v>6.6412037037037033E-2</v>
      </c>
      <c r="I32" s="11"/>
      <c r="J32" s="50"/>
      <c r="K32" s="11"/>
      <c r="L32" s="50"/>
      <c r="M32" s="11"/>
      <c r="N32" s="44"/>
      <c r="O32" s="53"/>
      <c r="P32" s="54"/>
      <c r="Q32" s="11"/>
      <c r="R32" s="50"/>
      <c r="S32" s="4"/>
      <c r="T32" s="11"/>
      <c r="U32" s="50"/>
      <c r="V32" s="4"/>
      <c r="W32" s="13">
        <f t="shared" si="3"/>
        <v>18.97</v>
      </c>
      <c r="X32" s="46">
        <f t="shared" si="5"/>
        <v>18</v>
      </c>
      <c r="Y32" s="27">
        <f t="shared" si="4"/>
        <v>0.96999999999999886</v>
      </c>
      <c r="Z32" s="14">
        <f t="shared" si="2"/>
        <v>6.6412037037037033E-2</v>
      </c>
      <c r="AA32" s="32"/>
      <c r="AB32" s="51"/>
      <c r="AC32" s="3">
        <v>82.4</v>
      </c>
      <c r="AD32" s="9">
        <f>AC32-$AC$2</f>
        <v>-3.2999999999999972</v>
      </c>
      <c r="AE32">
        <v>39</v>
      </c>
      <c r="AF32" s="9">
        <f>AE32-$AE$2</f>
        <v>-4</v>
      </c>
      <c r="AG32">
        <v>59</v>
      </c>
      <c r="AH32" s="9">
        <f>AG32-$AG$2</f>
        <v>-2</v>
      </c>
      <c r="AI32">
        <v>95</v>
      </c>
      <c r="AJ32" s="9">
        <f>AI32-$AI$2</f>
        <v>0</v>
      </c>
      <c r="AK32">
        <v>30</v>
      </c>
      <c r="AL32" s="9">
        <f>AK32-$AK$2</f>
        <v>-3</v>
      </c>
      <c r="AM32">
        <v>42</v>
      </c>
      <c r="AN32" s="37">
        <f>AM32-$AM$2</f>
        <v>0</v>
      </c>
    </row>
    <row r="33" spans="1:40" x14ac:dyDescent="0.25">
      <c r="A33" s="10">
        <v>11</v>
      </c>
      <c r="B33" s="49">
        <v>41011</v>
      </c>
      <c r="C33" s="27" t="s">
        <v>26</v>
      </c>
      <c r="D33" s="3"/>
      <c r="E33" s="50"/>
      <c r="F33" s="51"/>
      <c r="G33" s="52"/>
      <c r="H33" s="15"/>
      <c r="I33" s="11">
        <v>4</v>
      </c>
      <c r="J33" s="50">
        <v>3.72</v>
      </c>
      <c r="K33" s="51">
        <v>0.22569444444444445</v>
      </c>
      <c r="L33" s="52">
        <v>0.20208333333333331</v>
      </c>
      <c r="M33" s="26">
        <v>1.2824074074074073E-2</v>
      </c>
      <c r="N33" s="44"/>
      <c r="O33" s="53"/>
      <c r="P33" s="54"/>
      <c r="Q33" s="11"/>
      <c r="R33" s="50"/>
      <c r="S33" s="4"/>
      <c r="T33" s="11">
        <v>8</v>
      </c>
      <c r="U33" s="52">
        <v>0.18472222222222223</v>
      </c>
      <c r="V33" s="15">
        <v>2.461805555555556E-2</v>
      </c>
      <c r="W33" s="13">
        <f t="shared" si="3"/>
        <v>11.72</v>
      </c>
      <c r="X33" s="46">
        <f t="shared" si="5"/>
        <v>12</v>
      </c>
      <c r="Y33" s="27">
        <f t="shared" si="4"/>
        <v>-0.27999999999999936</v>
      </c>
      <c r="Z33" s="14">
        <f t="shared" si="2"/>
        <v>3.7442129629629631E-2</v>
      </c>
      <c r="AA33" s="32"/>
      <c r="AB33" s="51"/>
      <c r="AC33" s="3"/>
      <c r="AD33" s="55"/>
      <c r="AE33" s="11"/>
      <c r="AF33" s="55"/>
      <c r="AG33" s="11"/>
      <c r="AH33" s="55"/>
      <c r="AI33" s="11"/>
      <c r="AJ33" s="55"/>
      <c r="AK33" s="11"/>
      <c r="AL33" s="55"/>
      <c r="AM33" s="11"/>
      <c r="AN33" s="37"/>
    </row>
    <row r="34" spans="1:40" x14ac:dyDescent="0.25">
      <c r="A34" s="56"/>
      <c r="B34" s="17">
        <v>41013</v>
      </c>
      <c r="C34" s="34" t="s">
        <v>18</v>
      </c>
      <c r="D34" s="19">
        <v>30</v>
      </c>
      <c r="E34" s="20">
        <v>30</v>
      </c>
      <c r="F34" s="21">
        <v>0.22569444444444445</v>
      </c>
      <c r="G34" s="22">
        <v>0.20833333333333334</v>
      </c>
      <c r="H34" s="23">
        <v>0.10440972222222222</v>
      </c>
      <c r="I34" s="18"/>
      <c r="J34" s="20"/>
      <c r="K34" s="18"/>
      <c r="L34" s="20"/>
      <c r="M34" s="18"/>
      <c r="N34" s="45"/>
      <c r="O34" s="31"/>
      <c r="P34" s="42"/>
      <c r="Q34" s="18"/>
      <c r="R34" s="20"/>
      <c r="S34" s="24"/>
      <c r="T34" s="18"/>
      <c r="U34" s="20"/>
      <c r="V34" s="24"/>
      <c r="W34" s="20">
        <f t="shared" si="3"/>
        <v>30</v>
      </c>
      <c r="X34" s="57">
        <f t="shared" si="5"/>
        <v>30</v>
      </c>
      <c r="Y34" s="34">
        <f t="shared" si="4"/>
        <v>0</v>
      </c>
      <c r="Z34" s="22">
        <f t="shared" si="2"/>
        <v>0.10440972222222222</v>
      </c>
      <c r="AA34" s="33">
        <f>SUM(W32:W34)</f>
        <v>60.69</v>
      </c>
      <c r="AB34" s="21">
        <f>SUM(Z32:Z34)</f>
        <v>0.20826388888888889</v>
      </c>
      <c r="AC34" s="19"/>
      <c r="AD34" s="36"/>
      <c r="AE34" s="18"/>
      <c r="AF34" s="36"/>
      <c r="AG34" s="18"/>
      <c r="AH34" s="36"/>
      <c r="AI34" s="18"/>
      <c r="AJ34" s="36"/>
      <c r="AK34" s="18"/>
      <c r="AL34" s="36"/>
      <c r="AM34" s="18"/>
      <c r="AN34" s="38"/>
    </row>
    <row r="35" spans="1:40" x14ac:dyDescent="0.25">
      <c r="A35" s="10"/>
      <c r="B35" s="49">
        <v>41015</v>
      </c>
      <c r="C35" s="27" t="s">
        <v>0</v>
      </c>
      <c r="D35" s="3">
        <v>16</v>
      </c>
      <c r="E35" s="50">
        <v>15.93</v>
      </c>
      <c r="F35" s="51">
        <v>0.22569444444444445</v>
      </c>
      <c r="G35" s="52">
        <v>0.21111111111111111</v>
      </c>
      <c r="H35" s="15">
        <v>5.6076388888888884E-2</v>
      </c>
      <c r="I35" s="11"/>
      <c r="J35" s="50"/>
      <c r="K35" s="11"/>
      <c r="L35" s="50"/>
      <c r="M35" s="11"/>
      <c r="N35" s="44"/>
      <c r="O35" s="53"/>
      <c r="P35" s="54"/>
      <c r="Q35" s="11"/>
      <c r="R35" s="50"/>
      <c r="S35" s="4"/>
      <c r="T35" s="11"/>
      <c r="U35" s="50"/>
      <c r="V35" s="4"/>
      <c r="W35" s="13">
        <f t="shared" si="3"/>
        <v>15.93</v>
      </c>
      <c r="X35" s="46">
        <f t="shared" si="5"/>
        <v>16</v>
      </c>
      <c r="Y35" s="27">
        <f t="shared" si="4"/>
        <v>-7.0000000000000284E-2</v>
      </c>
      <c r="Z35" s="14">
        <f t="shared" si="2"/>
        <v>5.6076388888888884E-2</v>
      </c>
      <c r="AA35" s="32"/>
      <c r="AB35" s="51"/>
      <c r="AC35" s="3">
        <v>82.9</v>
      </c>
      <c r="AD35" s="9">
        <f>AC35-$AC$2</f>
        <v>-2.7999999999999972</v>
      </c>
      <c r="AE35">
        <v>39</v>
      </c>
      <c r="AF35" s="9">
        <f>AE35-$AE$2</f>
        <v>-4</v>
      </c>
      <c r="AG35">
        <v>59</v>
      </c>
      <c r="AH35" s="9">
        <f>AG35-$AG$2</f>
        <v>-2</v>
      </c>
      <c r="AI35">
        <v>94</v>
      </c>
      <c r="AJ35" s="9">
        <f>AI35-$AI$2</f>
        <v>-1</v>
      </c>
      <c r="AK35">
        <v>29</v>
      </c>
      <c r="AL35" s="9">
        <f>AK35-$AK$2</f>
        <v>-4</v>
      </c>
      <c r="AM35">
        <v>42</v>
      </c>
      <c r="AN35" s="37">
        <f>AM35-$AM$2</f>
        <v>0</v>
      </c>
    </row>
    <row r="36" spans="1:40" x14ac:dyDescent="0.25">
      <c r="A36" s="10">
        <v>12</v>
      </c>
      <c r="B36" s="49">
        <v>41018</v>
      </c>
      <c r="C36" s="27" t="s">
        <v>26</v>
      </c>
      <c r="D36" s="3"/>
      <c r="E36" s="50"/>
      <c r="F36" s="51"/>
      <c r="G36" s="52"/>
      <c r="H36" s="15"/>
      <c r="I36" s="11">
        <v>3</v>
      </c>
      <c r="J36" s="50">
        <v>4.1900000000000004</v>
      </c>
      <c r="K36" s="51">
        <v>0.22569444444444445</v>
      </c>
      <c r="L36" s="52">
        <v>0.22361111111111109</v>
      </c>
      <c r="M36" s="26">
        <v>1.1828703703703704E-2</v>
      </c>
      <c r="N36" s="44"/>
      <c r="O36" s="53"/>
      <c r="P36" s="54"/>
      <c r="Q36" s="11"/>
      <c r="R36" s="50"/>
      <c r="S36" s="4"/>
      <c r="T36" s="11">
        <v>10</v>
      </c>
      <c r="U36" s="52">
        <v>0.18124999999999999</v>
      </c>
      <c r="V36" s="15">
        <v>3.0162037037037032E-2</v>
      </c>
      <c r="W36" s="13">
        <f t="shared" si="3"/>
        <v>14.190000000000001</v>
      </c>
      <c r="X36" s="46">
        <f t="shared" si="5"/>
        <v>13</v>
      </c>
      <c r="Y36" s="27">
        <f t="shared" si="4"/>
        <v>1.1900000000000013</v>
      </c>
      <c r="Z36" s="14">
        <f t="shared" si="2"/>
        <v>4.1990740740740738E-2</v>
      </c>
      <c r="AA36" s="32"/>
      <c r="AB36" s="51"/>
      <c r="AC36" s="3"/>
      <c r="AD36" s="55"/>
      <c r="AE36" s="11"/>
      <c r="AF36" s="55"/>
      <c r="AG36" s="11"/>
      <c r="AH36" s="55"/>
      <c r="AI36" s="11"/>
      <c r="AJ36" s="55"/>
      <c r="AK36" s="11"/>
      <c r="AL36" s="55"/>
      <c r="AM36" s="11"/>
      <c r="AN36" s="37"/>
    </row>
    <row r="37" spans="1:40" x14ac:dyDescent="0.25">
      <c r="A37" s="56"/>
      <c r="B37" s="17">
        <v>41021</v>
      </c>
      <c r="C37" s="34" t="s">
        <v>27</v>
      </c>
      <c r="D37" s="19">
        <v>16</v>
      </c>
      <c r="E37" s="20">
        <v>19.36</v>
      </c>
      <c r="F37" s="21">
        <v>0.23124999999999998</v>
      </c>
      <c r="G37" s="22">
        <v>0.21458333333333335</v>
      </c>
      <c r="H37" s="23">
        <v>6.9398148148148139E-2</v>
      </c>
      <c r="I37" s="18"/>
      <c r="J37" s="20"/>
      <c r="K37" s="18"/>
      <c r="L37" s="20"/>
      <c r="M37" s="18"/>
      <c r="N37" s="45"/>
      <c r="O37" s="31"/>
      <c r="P37" s="42"/>
      <c r="Q37" s="18"/>
      <c r="R37" s="20"/>
      <c r="S37" s="24"/>
      <c r="T37" s="18"/>
      <c r="U37" s="20"/>
      <c r="V37" s="24"/>
      <c r="W37" s="20">
        <f t="shared" si="3"/>
        <v>19.36</v>
      </c>
      <c r="X37" s="57">
        <f t="shared" si="5"/>
        <v>16</v>
      </c>
      <c r="Y37" s="34">
        <f t="shared" si="4"/>
        <v>3.3599999999999994</v>
      </c>
      <c r="Z37" s="22">
        <f t="shared" si="2"/>
        <v>6.9398148148148139E-2</v>
      </c>
      <c r="AA37" s="33">
        <f>SUM(W35:W37)</f>
        <v>49.480000000000004</v>
      </c>
      <c r="AB37" s="21">
        <f>SUM(Z35:Z37)</f>
        <v>0.16746527777777775</v>
      </c>
      <c r="AC37" s="19"/>
      <c r="AD37" s="36"/>
      <c r="AE37" s="18"/>
      <c r="AF37" s="36"/>
      <c r="AG37" s="18"/>
      <c r="AH37" s="36"/>
      <c r="AI37" s="18"/>
      <c r="AJ37" s="36"/>
      <c r="AK37" s="18"/>
      <c r="AL37" s="36"/>
      <c r="AM37" s="18"/>
      <c r="AN37" s="38"/>
    </row>
    <row r="38" spans="1:40" x14ac:dyDescent="0.25">
      <c r="A38" s="10"/>
      <c r="B38" s="49">
        <v>41022</v>
      </c>
      <c r="C38" s="27" t="s">
        <v>0</v>
      </c>
      <c r="D38" s="3">
        <v>18</v>
      </c>
      <c r="E38" s="50">
        <v>15.26</v>
      </c>
      <c r="F38" s="51">
        <v>0.23124999999999998</v>
      </c>
      <c r="G38" s="52">
        <v>0.20694444444444446</v>
      </c>
      <c r="H38" s="15">
        <v>5.2557870370370373E-2</v>
      </c>
      <c r="I38" s="11"/>
      <c r="J38" s="50"/>
      <c r="K38" s="11"/>
      <c r="L38" s="50"/>
      <c r="M38" s="11"/>
      <c r="N38" s="44"/>
      <c r="O38" s="53"/>
      <c r="P38" s="54"/>
      <c r="Q38" s="11"/>
      <c r="R38" s="50"/>
      <c r="S38" s="4"/>
      <c r="T38" s="11"/>
      <c r="U38" s="50"/>
      <c r="V38" s="4"/>
      <c r="W38" s="13">
        <f t="shared" si="3"/>
        <v>15.26</v>
      </c>
      <c r="X38" s="46">
        <f t="shared" si="5"/>
        <v>18</v>
      </c>
      <c r="Y38" s="27">
        <f t="shared" si="4"/>
        <v>-2.74</v>
      </c>
      <c r="Z38" s="14">
        <f t="shared" si="2"/>
        <v>5.2557870370370373E-2</v>
      </c>
      <c r="AA38" s="32"/>
      <c r="AB38" s="51"/>
      <c r="AC38" s="3">
        <v>81</v>
      </c>
      <c r="AD38" s="9">
        <f>AC38-$AC$2</f>
        <v>-4.7000000000000028</v>
      </c>
      <c r="AE38">
        <v>39</v>
      </c>
      <c r="AF38" s="9">
        <f>AE38-$AE$2</f>
        <v>-4</v>
      </c>
      <c r="AG38">
        <v>59</v>
      </c>
      <c r="AH38" s="9">
        <f>AG38-$AG$2</f>
        <v>-2</v>
      </c>
      <c r="AI38">
        <v>93</v>
      </c>
      <c r="AJ38" s="9">
        <f>AI38-$AI$2</f>
        <v>-2</v>
      </c>
      <c r="AK38">
        <v>31</v>
      </c>
      <c r="AL38" s="9">
        <f>AK38-$AK$2</f>
        <v>-2</v>
      </c>
      <c r="AM38">
        <v>40</v>
      </c>
      <c r="AN38" s="37">
        <f>AM38-$AM$2</f>
        <v>-2</v>
      </c>
    </row>
    <row r="39" spans="1:40" x14ac:dyDescent="0.25">
      <c r="A39" s="10">
        <v>13</v>
      </c>
      <c r="B39" s="49">
        <v>41025</v>
      </c>
      <c r="C39" s="27" t="s">
        <v>26</v>
      </c>
      <c r="D39" s="3"/>
      <c r="E39" s="50"/>
      <c r="F39" s="51"/>
      <c r="G39" s="52"/>
      <c r="H39" s="15"/>
      <c r="I39" s="11">
        <v>4</v>
      </c>
      <c r="J39" s="50">
        <v>3.45</v>
      </c>
      <c r="K39" s="51">
        <v>0.23124999999999998</v>
      </c>
      <c r="L39" s="52">
        <v>0.21249999999999999</v>
      </c>
      <c r="M39" s="26">
        <v>1.2268518518518519E-2</v>
      </c>
      <c r="N39" s="44">
        <v>1.02</v>
      </c>
      <c r="O39" s="53" t="s">
        <v>33</v>
      </c>
      <c r="P39" s="54">
        <v>10</v>
      </c>
      <c r="Q39" s="51">
        <v>0.18472222222222223</v>
      </c>
      <c r="R39" s="52">
        <v>0.17847222222222223</v>
      </c>
      <c r="S39" s="15">
        <v>2.9722222222222219E-2</v>
      </c>
      <c r="T39" s="11"/>
      <c r="U39" s="50"/>
      <c r="V39" s="4"/>
      <c r="W39" s="13">
        <f t="shared" si="3"/>
        <v>14.469999999999999</v>
      </c>
      <c r="X39" s="46">
        <f t="shared" si="5"/>
        <v>14</v>
      </c>
      <c r="Y39" s="27">
        <f t="shared" si="4"/>
        <v>0.46999999999999886</v>
      </c>
      <c r="Z39" s="14">
        <f t="shared" si="2"/>
        <v>4.1990740740740738E-2</v>
      </c>
      <c r="AA39" s="32"/>
      <c r="AB39" s="51"/>
      <c r="AC39" s="3"/>
      <c r="AD39" s="55"/>
      <c r="AE39" s="11"/>
      <c r="AF39" s="55"/>
      <c r="AG39" s="11"/>
      <c r="AH39" s="55"/>
      <c r="AI39" s="11"/>
      <c r="AJ39" s="55"/>
      <c r="AK39" s="11"/>
      <c r="AL39" s="55"/>
      <c r="AM39" s="11"/>
      <c r="AN39" s="37"/>
    </row>
    <row r="40" spans="1:40" x14ac:dyDescent="0.25">
      <c r="A40" s="56"/>
      <c r="B40" s="17">
        <v>41028</v>
      </c>
      <c r="C40" s="34" t="s">
        <v>27</v>
      </c>
      <c r="D40" s="19">
        <v>20</v>
      </c>
      <c r="E40" s="20">
        <v>20.02</v>
      </c>
      <c r="F40" s="21">
        <v>0.23124999999999998</v>
      </c>
      <c r="G40" s="22">
        <v>0.21041666666666667</v>
      </c>
      <c r="H40" s="23">
        <v>7.0694444444444449E-2</v>
      </c>
      <c r="I40" s="18"/>
      <c r="J40" s="20"/>
      <c r="K40" s="18"/>
      <c r="L40" s="20"/>
      <c r="M40" s="18"/>
      <c r="N40" s="45"/>
      <c r="O40" s="31" t="s">
        <v>34</v>
      </c>
      <c r="P40" s="42">
        <v>8</v>
      </c>
      <c r="Q40" s="21">
        <v>0.19722222222222222</v>
      </c>
      <c r="R40" s="22">
        <v>0.19583333333333333</v>
      </c>
      <c r="S40" s="23">
        <v>2.613425925925926E-2</v>
      </c>
      <c r="T40" s="18"/>
      <c r="U40" s="20"/>
      <c r="V40" s="24"/>
      <c r="W40" s="20">
        <f t="shared" si="3"/>
        <v>28.02</v>
      </c>
      <c r="X40" s="57">
        <f>T40+I40+D40+8</f>
        <v>28</v>
      </c>
      <c r="Y40" s="34">
        <f t="shared" si="4"/>
        <v>1.9999999999999574E-2</v>
      </c>
      <c r="Z40" s="22">
        <f t="shared" si="2"/>
        <v>9.6828703703703708E-2</v>
      </c>
      <c r="AA40" s="33">
        <f>SUM(W38:W40)</f>
        <v>57.75</v>
      </c>
      <c r="AB40" s="21">
        <f>SUM(Z38:Z40)</f>
        <v>0.19137731481481482</v>
      </c>
      <c r="AC40" s="19"/>
      <c r="AD40" s="36"/>
      <c r="AE40" s="18"/>
      <c r="AF40" s="36"/>
      <c r="AG40" s="18"/>
      <c r="AH40" s="36"/>
      <c r="AI40" s="18"/>
      <c r="AJ40" s="36"/>
      <c r="AK40" s="18"/>
      <c r="AL40" s="36"/>
      <c r="AM40" s="18"/>
      <c r="AN40" s="38"/>
    </row>
    <row r="41" spans="1:40" x14ac:dyDescent="0.25">
      <c r="A41" s="10"/>
      <c r="B41" s="49">
        <v>41031</v>
      </c>
      <c r="C41" s="27" t="s">
        <v>15</v>
      </c>
      <c r="D41" s="3">
        <v>14</v>
      </c>
      <c r="E41" s="50">
        <v>14.06</v>
      </c>
      <c r="F41" s="51">
        <v>0.23124999999999998</v>
      </c>
      <c r="G41" s="52">
        <v>0.20902777777777778</v>
      </c>
      <c r="H41" s="15">
        <v>4.8935185185185186E-2</v>
      </c>
      <c r="I41" s="11"/>
      <c r="J41" s="50"/>
      <c r="K41" s="11"/>
      <c r="L41" s="50"/>
      <c r="M41" s="11"/>
      <c r="N41" s="44"/>
      <c r="O41" s="53"/>
      <c r="P41" s="54"/>
      <c r="Q41" s="11"/>
      <c r="R41" s="50"/>
      <c r="S41" s="4"/>
      <c r="T41" s="11"/>
      <c r="U41" s="50"/>
      <c r="V41" s="4"/>
      <c r="W41" s="13">
        <f t="shared" si="3"/>
        <v>14.06</v>
      </c>
      <c r="X41" s="46">
        <f t="shared" si="5"/>
        <v>14</v>
      </c>
      <c r="Y41" s="27">
        <f t="shared" si="4"/>
        <v>6.0000000000000497E-2</v>
      </c>
      <c r="Z41" s="14">
        <f t="shared" si="2"/>
        <v>4.8935185185185186E-2</v>
      </c>
      <c r="AA41" s="32"/>
      <c r="AB41" s="51"/>
      <c r="AC41" s="3">
        <v>81</v>
      </c>
      <c r="AD41" s="9">
        <f>AC41-$AC$2</f>
        <v>-4.7000000000000028</v>
      </c>
      <c r="AE41">
        <v>39</v>
      </c>
      <c r="AF41" s="9">
        <f>AE41-$AE$2</f>
        <v>-4</v>
      </c>
      <c r="AG41">
        <v>58</v>
      </c>
      <c r="AH41" s="9">
        <f>AG41-$AG$2</f>
        <v>-3</v>
      </c>
      <c r="AI41">
        <v>92</v>
      </c>
      <c r="AJ41" s="9">
        <f>AI41-$AI$2</f>
        <v>-3</v>
      </c>
      <c r="AK41">
        <v>29</v>
      </c>
      <c r="AL41" s="9">
        <f>AK41-$AK$2</f>
        <v>-4</v>
      </c>
      <c r="AM41">
        <v>42</v>
      </c>
      <c r="AN41" s="37">
        <f>AM41-$AM$2</f>
        <v>0</v>
      </c>
    </row>
    <row r="42" spans="1:40" x14ac:dyDescent="0.25">
      <c r="A42" s="10">
        <v>14</v>
      </c>
      <c r="B42" s="49">
        <v>41032</v>
      </c>
      <c r="C42" s="27" t="s">
        <v>26</v>
      </c>
      <c r="D42" s="3"/>
      <c r="E42" s="50"/>
      <c r="F42" s="51"/>
      <c r="G42" s="52"/>
      <c r="H42" s="15"/>
      <c r="I42" s="11">
        <v>4</v>
      </c>
      <c r="J42" s="50">
        <v>2.3199999999999998</v>
      </c>
      <c r="K42" s="51">
        <v>0.23124999999999998</v>
      </c>
      <c r="L42" s="52">
        <v>0.21805555555555556</v>
      </c>
      <c r="M42" s="26">
        <v>8.4375000000000006E-3</v>
      </c>
      <c r="N42" s="44"/>
      <c r="O42" s="53" t="s">
        <v>35</v>
      </c>
      <c r="P42" s="54">
        <v>7.42</v>
      </c>
      <c r="Q42" s="51">
        <v>0.19722222222222222</v>
      </c>
      <c r="R42" s="52">
        <v>0.18680555555555556</v>
      </c>
      <c r="S42" s="15">
        <v>2.3067129629629632E-2</v>
      </c>
      <c r="T42" s="11"/>
      <c r="U42" s="52"/>
      <c r="V42" s="4"/>
      <c r="W42" s="13">
        <f t="shared" si="3"/>
        <v>9.74</v>
      </c>
      <c r="X42" s="46">
        <f>T42+I42+D42+12</f>
        <v>16</v>
      </c>
      <c r="Y42" s="27">
        <f t="shared" si="4"/>
        <v>-6.26</v>
      </c>
      <c r="Z42" s="14">
        <f t="shared" si="2"/>
        <v>3.1504629629629632E-2</v>
      </c>
      <c r="AA42" s="32"/>
      <c r="AB42" s="51"/>
      <c r="AC42" s="3"/>
      <c r="AD42" s="55"/>
      <c r="AE42" s="11"/>
      <c r="AF42" s="55"/>
      <c r="AG42" s="11"/>
      <c r="AH42" s="55"/>
      <c r="AI42" s="11"/>
      <c r="AJ42" s="55"/>
      <c r="AK42" s="11"/>
      <c r="AL42" s="55"/>
      <c r="AM42" s="11"/>
      <c r="AN42" s="37"/>
    </row>
    <row r="43" spans="1:40" x14ac:dyDescent="0.25">
      <c r="A43" s="56"/>
      <c r="B43" s="17">
        <v>41034</v>
      </c>
      <c r="C43" s="34" t="s">
        <v>18</v>
      </c>
      <c r="D43" s="19">
        <v>12</v>
      </c>
      <c r="E43" s="20">
        <v>21.25</v>
      </c>
      <c r="F43" s="21">
        <v>0.23124999999999998</v>
      </c>
      <c r="G43" s="22">
        <v>0.18888888888888888</v>
      </c>
      <c r="H43" s="23">
        <v>6.7118055555555556E-2</v>
      </c>
      <c r="I43" s="18"/>
      <c r="J43" s="20"/>
      <c r="K43" s="18"/>
      <c r="L43" s="20"/>
      <c r="M43" s="18"/>
      <c r="N43" s="45"/>
      <c r="O43" s="31" t="s">
        <v>34</v>
      </c>
      <c r="P43" s="42">
        <v>0</v>
      </c>
      <c r="Q43" s="21">
        <v>0.19722222222222222</v>
      </c>
      <c r="R43" s="20">
        <v>0</v>
      </c>
      <c r="S43" s="24">
        <v>0</v>
      </c>
      <c r="T43" s="18"/>
      <c r="U43" s="20"/>
      <c r="V43" s="24"/>
      <c r="W43" s="28">
        <f t="shared" si="3"/>
        <v>21.25</v>
      </c>
      <c r="X43" s="57">
        <f>T43+I43+D43+8</f>
        <v>20</v>
      </c>
      <c r="Y43" s="34">
        <f t="shared" si="4"/>
        <v>1.25</v>
      </c>
      <c r="Z43" s="58">
        <f t="shared" si="2"/>
        <v>6.7118055555555556E-2</v>
      </c>
      <c r="AA43" s="33">
        <f>SUM(W41:W43)</f>
        <v>45.05</v>
      </c>
      <c r="AB43" s="21">
        <f>SUM(Z41:Z43)</f>
        <v>0.14755787037037038</v>
      </c>
      <c r="AC43" s="19"/>
      <c r="AD43" s="36"/>
      <c r="AE43" s="18"/>
      <c r="AF43" s="36"/>
      <c r="AG43" s="18"/>
      <c r="AH43" s="36"/>
      <c r="AI43" s="18"/>
      <c r="AJ43" s="36"/>
      <c r="AK43" s="18"/>
      <c r="AL43" s="36"/>
      <c r="AM43" s="18"/>
      <c r="AN43" s="38"/>
    </row>
    <row r="44" spans="1:40" x14ac:dyDescent="0.25">
      <c r="A44" s="10"/>
      <c r="B44" s="49">
        <v>41037</v>
      </c>
      <c r="C44" s="27" t="s">
        <v>24</v>
      </c>
      <c r="D44" s="3">
        <v>10</v>
      </c>
      <c r="E44" s="50">
        <v>10.039999999999999</v>
      </c>
      <c r="F44" s="51">
        <v>0.23124999999999998</v>
      </c>
      <c r="G44" s="52">
        <v>0.20347222222222219</v>
      </c>
      <c r="H44" s="15">
        <v>3.4062500000000002E-2</v>
      </c>
      <c r="I44" s="11"/>
      <c r="J44" s="50"/>
      <c r="K44" s="11"/>
      <c r="L44" s="50"/>
      <c r="M44" s="11"/>
      <c r="N44" s="44"/>
      <c r="O44" s="53" t="s">
        <v>36</v>
      </c>
      <c r="P44" s="54">
        <v>4</v>
      </c>
      <c r="Q44" s="51">
        <v>0.19722222222222222</v>
      </c>
      <c r="R44" s="52">
        <v>0.19305555555555554</v>
      </c>
      <c r="S44" s="15">
        <v>1.2858796296296297E-2</v>
      </c>
      <c r="T44" s="11"/>
      <c r="U44" s="50"/>
      <c r="V44" s="11"/>
      <c r="W44" s="60">
        <f t="shared" si="3"/>
        <v>14.04</v>
      </c>
      <c r="X44" s="46">
        <f>T44+I44+D44+4</f>
        <v>14</v>
      </c>
      <c r="Y44" s="27">
        <f t="shared" si="4"/>
        <v>3.9999999999999147E-2</v>
      </c>
      <c r="Z44" s="62">
        <f t="shared" ref="Z44:Z50" si="6">H44+M44+S44+V44</f>
        <v>4.6921296296296301E-2</v>
      </c>
      <c r="AA44" s="59"/>
      <c r="AB44" s="51"/>
      <c r="AC44" s="3">
        <v>80.900000000000006</v>
      </c>
      <c r="AD44" s="9">
        <f>AC44-$AC$2</f>
        <v>-4.7999999999999972</v>
      </c>
      <c r="AE44">
        <v>39</v>
      </c>
      <c r="AF44" s="9">
        <f>AE44-$AE$2</f>
        <v>-4</v>
      </c>
      <c r="AG44">
        <v>57</v>
      </c>
      <c r="AH44" s="9">
        <f>AG44-$AG$2</f>
        <v>-4</v>
      </c>
      <c r="AI44">
        <v>92</v>
      </c>
      <c r="AJ44" s="9">
        <f>AI44-$AI$2</f>
        <v>-3</v>
      </c>
      <c r="AK44">
        <v>29</v>
      </c>
      <c r="AL44" s="9">
        <f>AK44-$AK$2</f>
        <v>-4</v>
      </c>
      <c r="AM44">
        <v>41</v>
      </c>
      <c r="AN44" s="37">
        <f>AM44-$AM$2</f>
        <v>-1</v>
      </c>
    </row>
    <row r="45" spans="1:40" x14ac:dyDescent="0.25">
      <c r="A45" s="10">
        <v>15</v>
      </c>
      <c r="B45" s="49">
        <v>41039</v>
      </c>
      <c r="C45" s="27" t="s">
        <v>26</v>
      </c>
      <c r="D45" s="3"/>
      <c r="E45" s="50"/>
      <c r="F45" s="51"/>
      <c r="G45" s="52"/>
      <c r="H45" s="15"/>
      <c r="I45" s="11">
        <v>4</v>
      </c>
      <c r="J45" s="50">
        <v>4.3</v>
      </c>
      <c r="K45" s="51">
        <v>0.23124999999999998</v>
      </c>
      <c r="L45" s="52">
        <v>0.20486111111111113</v>
      </c>
      <c r="M45" s="26">
        <v>1.3981481481481482E-2</v>
      </c>
      <c r="N45" s="44">
        <v>1.3839999999999999</v>
      </c>
      <c r="O45" s="53" t="s">
        <v>37</v>
      </c>
      <c r="P45" s="54">
        <v>3</v>
      </c>
      <c r="Q45" s="51">
        <v>0.16944444444444443</v>
      </c>
      <c r="R45" s="52">
        <v>0.15972222222222224</v>
      </c>
      <c r="S45" s="15">
        <v>7.9745370370370369E-3</v>
      </c>
      <c r="T45" s="11"/>
      <c r="U45" s="50"/>
      <c r="V45" s="11"/>
      <c r="W45" s="61">
        <f t="shared" si="3"/>
        <v>8.6839999999999993</v>
      </c>
      <c r="X45" s="46">
        <f>T45+I45+D45+P45</f>
        <v>7</v>
      </c>
      <c r="Y45" s="27">
        <f t="shared" si="4"/>
        <v>1.6839999999999993</v>
      </c>
      <c r="Z45" s="63">
        <f t="shared" si="6"/>
        <v>2.1956018518518521E-2</v>
      </c>
      <c r="AA45" s="59"/>
      <c r="AB45" s="51"/>
      <c r="AC45" s="3"/>
      <c r="AD45" s="55"/>
      <c r="AE45" s="11"/>
      <c r="AF45" s="55"/>
      <c r="AG45" s="11"/>
      <c r="AH45" s="55"/>
      <c r="AI45" s="11"/>
      <c r="AJ45" s="55"/>
      <c r="AK45" s="11"/>
      <c r="AL45" s="55"/>
      <c r="AM45" s="11"/>
      <c r="AN45" s="37"/>
    </row>
    <row r="46" spans="1:40" x14ac:dyDescent="0.25">
      <c r="A46" s="56"/>
      <c r="B46" s="17">
        <v>41042</v>
      </c>
      <c r="C46" s="34" t="s">
        <v>27</v>
      </c>
      <c r="D46" s="19">
        <v>16</v>
      </c>
      <c r="E46" s="20">
        <v>15.98</v>
      </c>
      <c r="F46" s="21">
        <v>0.23124999999999998</v>
      </c>
      <c r="G46" s="22">
        <v>0.1986111111111111</v>
      </c>
      <c r="H46" s="23">
        <v>5.2835648148148145E-2</v>
      </c>
      <c r="I46" s="18"/>
      <c r="J46" s="20"/>
      <c r="K46" s="18"/>
      <c r="L46" s="20"/>
      <c r="M46" s="18"/>
      <c r="N46" s="45"/>
      <c r="O46" s="31"/>
      <c r="P46" s="42"/>
      <c r="Q46" s="18"/>
      <c r="R46" s="20"/>
      <c r="S46" s="24"/>
      <c r="T46" s="18"/>
      <c r="U46" s="20"/>
      <c r="V46" s="18"/>
      <c r="W46" s="28">
        <f t="shared" si="3"/>
        <v>15.98</v>
      </c>
      <c r="X46" s="57">
        <f>T46+I46+D46+P46</f>
        <v>16</v>
      </c>
      <c r="Y46" s="34">
        <f t="shared" si="4"/>
        <v>-1.9999999999999574E-2</v>
      </c>
      <c r="Z46" s="58">
        <f t="shared" si="6"/>
        <v>5.2835648148148145E-2</v>
      </c>
      <c r="AA46" s="33">
        <f>SUM(W44:W46)</f>
        <v>38.703999999999994</v>
      </c>
      <c r="AB46" s="21">
        <f>SUM(Z44:Z46)</f>
        <v>0.12171296296296297</v>
      </c>
      <c r="AC46" s="19"/>
      <c r="AD46" s="36"/>
      <c r="AE46" s="18"/>
      <c r="AF46" s="36"/>
      <c r="AG46" s="18"/>
      <c r="AH46" s="36"/>
      <c r="AI46" s="18"/>
      <c r="AJ46" s="36"/>
      <c r="AK46" s="18"/>
      <c r="AL46" s="36"/>
      <c r="AM46" s="18"/>
      <c r="AN46" s="38"/>
    </row>
    <row r="47" spans="1:40" x14ac:dyDescent="0.25">
      <c r="A47" s="10"/>
      <c r="B47" s="49">
        <v>41043</v>
      </c>
      <c r="C47" s="27" t="s">
        <v>0</v>
      </c>
      <c r="D47" s="3">
        <v>10</v>
      </c>
      <c r="E47" s="50">
        <v>9.89</v>
      </c>
      <c r="F47" s="51">
        <v>0.23124999999999998</v>
      </c>
      <c r="G47" s="52">
        <v>0.19791666666666666</v>
      </c>
      <c r="H47" s="15">
        <v>3.2615740740740744E-2</v>
      </c>
      <c r="I47" s="11"/>
      <c r="J47" s="50"/>
      <c r="K47" s="11"/>
      <c r="L47" s="50"/>
      <c r="M47" s="11"/>
      <c r="N47" s="44"/>
      <c r="O47" s="53"/>
      <c r="P47" s="54"/>
      <c r="Q47" s="11"/>
      <c r="R47" s="50"/>
      <c r="S47" s="4"/>
      <c r="T47" s="11"/>
      <c r="U47" s="50"/>
      <c r="V47" s="11"/>
      <c r="W47" s="61">
        <f t="shared" si="3"/>
        <v>9.89</v>
      </c>
      <c r="X47" s="46">
        <f>T47+I47+D47+P47</f>
        <v>10</v>
      </c>
      <c r="Y47" s="27">
        <f t="shared" si="4"/>
        <v>-0.10999999999999943</v>
      </c>
      <c r="Z47" s="63">
        <f t="shared" si="6"/>
        <v>3.2615740740740744E-2</v>
      </c>
      <c r="AA47" s="59"/>
      <c r="AB47" s="51"/>
      <c r="AC47" s="3">
        <v>79.5</v>
      </c>
      <c r="AD47" s="9">
        <f>AC47-$AC$2</f>
        <v>-6.2000000000000028</v>
      </c>
      <c r="AE47">
        <v>38</v>
      </c>
      <c r="AF47" s="9">
        <f>AE47-$AE$2</f>
        <v>-5</v>
      </c>
      <c r="AG47">
        <v>57</v>
      </c>
      <c r="AH47" s="9">
        <f>AG47-$AG$2</f>
        <v>-4</v>
      </c>
      <c r="AI47">
        <v>90</v>
      </c>
      <c r="AJ47" s="9">
        <f>AI47-$AI$2</f>
        <v>-5</v>
      </c>
      <c r="AK47">
        <v>32</v>
      </c>
      <c r="AL47" s="9">
        <f>AK47-$AK$2</f>
        <v>-1</v>
      </c>
      <c r="AM47">
        <v>40</v>
      </c>
      <c r="AN47" s="37">
        <f>AM47-$AM$2</f>
        <v>-2</v>
      </c>
    </row>
    <row r="48" spans="1:40" x14ac:dyDescent="0.25">
      <c r="A48" s="10">
        <v>16</v>
      </c>
      <c r="B48" s="49">
        <v>41045</v>
      </c>
      <c r="C48" s="27" t="s">
        <v>15</v>
      </c>
      <c r="D48" s="3">
        <v>8</v>
      </c>
      <c r="E48" s="50">
        <v>7.6</v>
      </c>
      <c r="F48" s="52">
        <v>0.23124999999999998</v>
      </c>
      <c r="G48" s="52">
        <v>0.20277777777777781</v>
      </c>
      <c r="H48" s="15">
        <v>2.5983796296296297E-2</v>
      </c>
      <c r="I48" s="11">
        <v>2</v>
      </c>
      <c r="J48" s="50">
        <v>2.5299999999999998</v>
      </c>
      <c r="K48" s="51">
        <v>0.23124999999999998</v>
      </c>
      <c r="L48" s="52">
        <v>0.19583333333333333</v>
      </c>
      <c r="M48" s="26">
        <v>8.2638888888888883E-3</v>
      </c>
      <c r="N48" s="44"/>
      <c r="O48" s="53" t="s">
        <v>38</v>
      </c>
      <c r="P48" s="54">
        <v>0.4</v>
      </c>
      <c r="Q48" s="11"/>
      <c r="R48" s="64">
        <v>0.1423611111111111</v>
      </c>
      <c r="S48" s="15">
        <v>7.175925925925927E-4</v>
      </c>
      <c r="T48" s="11"/>
      <c r="U48" s="50"/>
      <c r="V48" s="11"/>
      <c r="W48" s="61">
        <f t="shared" si="3"/>
        <v>10.53</v>
      </c>
      <c r="X48" s="46">
        <f>T48+I48+D48+P48</f>
        <v>10.4</v>
      </c>
      <c r="Y48" s="27">
        <f t="shared" si="4"/>
        <v>0.12999999999999901</v>
      </c>
      <c r="Z48" s="63">
        <f t="shared" si="6"/>
        <v>3.4965277777777783E-2</v>
      </c>
      <c r="AA48" s="59"/>
      <c r="AB48" s="51"/>
      <c r="AC48" s="3"/>
      <c r="AD48" s="55"/>
      <c r="AE48" s="11"/>
      <c r="AF48" s="55"/>
      <c r="AG48" s="11"/>
      <c r="AH48" s="55"/>
      <c r="AI48" s="11"/>
      <c r="AJ48" s="55"/>
      <c r="AK48" s="11"/>
      <c r="AL48" s="55"/>
      <c r="AM48" s="11"/>
      <c r="AN48" s="37"/>
    </row>
    <row r="49" spans="1:40" x14ac:dyDescent="0.25">
      <c r="A49" s="56"/>
      <c r="B49" s="17">
        <v>41047</v>
      </c>
      <c r="C49" s="34" t="s">
        <v>29</v>
      </c>
      <c r="D49" s="19">
        <v>6</v>
      </c>
      <c r="E49" s="20">
        <v>6.38</v>
      </c>
      <c r="F49" s="21">
        <v>0.23124999999999998</v>
      </c>
      <c r="G49" s="22">
        <v>0.21111111111111111</v>
      </c>
      <c r="H49" s="23">
        <v>2.2442129629629631E-2</v>
      </c>
      <c r="I49" s="18"/>
      <c r="J49" s="20"/>
      <c r="K49" s="18"/>
      <c r="L49" s="20"/>
      <c r="M49" s="18"/>
      <c r="N49" s="45"/>
      <c r="O49" s="31"/>
      <c r="P49" s="42"/>
      <c r="Q49" s="18"/>
      <c r="R49" s="20"/>
      <c r="S49" s="24"/>
      <c r="T49" s="18"/>
      <c r="U49" s="20"/>
      <c r="V49" s="18"/>
      <c r="W49" s="28">
        <f t="shared" si="3"/>
        <v>6.38</v>
      </c>
      <c r="X49" s="57">
        <f>T49+I49+D49+P49</f>
        <v>6</v>
      </c>
      <c r="Y49" s="34">
        <f t="shared" si="4"/>
        <v>0.37999999999999989</v>
      </c>
      <c r="Z49" s="58">
        <f t="shared" si="6"/>
        <v>2.2442129629629631E-2</v>
      </c>
      <c r="AA49" s="33">
        <f>SUM(W47:W49)</f>
        <v>26.8</v>
      </c>
      <c r="AB49" s="21">
        <f>SUM(Z47:Z49)</f>
        <v>9.0023148148148158E-2</v>
      </c>
      <c r="AC49" s="19"/>
      <c r="AD49" s="36"/>
      <c r="AE49" s="18"/>
      <c r="AF49" s="36"/>
      <c r="AG49" s="18"/>
      <c r="AH49" s="36"/>
      <c r="AI49" s="18"/>
      <c r="AJ49" s="36"/>
      <c r="AK49" s="18"/>
      <c r="AL49" s="36"/>
      <c r="AM49" s="18"/>
      <c r="AN49" s="38"/>
    </row>
    <row r="50" spans="1:40" x14ac:dyDescent="0.25">
      <c r="A50" s="65"/>
      <c r="B50" s="66">
        <v>41049</v>
      </c>
      <c r="C50" s="67" t="s">
        <v>27</v>
      </c>
      <c r="D50" s="68"/>
      <c r="E50" s="69"/>
      <c r="F50" s="70"/>
      <c r="G50" s="69"/>
      <c r="H50" s="78"/>
      <c r="I50" s="70"/>
      <c r="J50" s="69"/>
      <c r="K50" s="70"/>
      <c r="L50" s="69"/>
      <c r="M50" s="70"/>
      <c r="N50" s="77"/>
      <c r="O50" s="71"/>
      <c r="P50" s="72"/>
      <c r="Q50" s="70"/>
      <c r="R50" s="69"/>
      <c r="S50" s="76"/>
      <c r="T50" s="70">
        <v>42.195</v>
      </c>
      <c r="U50" s="79">
        <v>0.23124999999999998</v>
      </c>
      <c r="V50" s="80">
        <v>0.16297453703703704</v>
      </c>
      <c r="W50" s="75">
        <v>42.34</v>
      </c>
      <c r="X50" s="70">
        <v>42.195</v>
      </c>
      <c r="Y50" s="67">
        <f t="shared" si="4"/>
        <v>0.14500000000000313</v>
      </c>
      <c r="Z50" s="58">
        <f t="shared" si="6"/>
        <v>0.16297453703703704</v>
      </c>
      <c r="AA50" s="68"/>
      <c r="AB50" s="76"/>
      <c r="AC50" s="70">
        <v>78.099999999999994</v>
      </c>
      <c r="AD50" s="73">
        <f>AC50-$AC$2</f>
        <v>-7.6000000000000085</v>
      </c>
      <c r="AE50" s="70"/>
      <c r="AF50" s="73"/>
      <c r="AG50" s="70"/>
      <c r="AH50" s="73"/>
      <c r="AI50" s="70"/>
      <c r="AJ50" s="73"/>
      <c r="AK50" s="70"/>
      <c r="AL50" s="73"/>
      <c r="AM50" s="70"/>
      <c r="AN50" s="74"/>
    </row>
    <row r="51" spans="1:40" x14ac:dyDescent="0.25">
      <c r="A51" s="6"/>
      <c r="H51" s="48"/>
    </row>
    <row r="52" spans="1:40" x14ac:dyDescent="0.25">
      <c r="A52" s="6"/>
      <c r="H52" s="48"/>
      <c r="W52" s="13">
        <f>SUM(W2:W51)</f>
        <v>814.05399999999997</v>
      </c>
      <c r="X52" s="13">
        <f>SUM(X2:X51)</f>
        <v>796.25500000000011</v>
      </c>
      <c r="Y52" s="13">
        <f>W52-X52</f>
        <v>17.798999999999864</v>
      </c>
      <c r="Z52" s="14">
        <f>SUM(Z2:Z51)</f>
        <v>2.782731481481481</v>
      </c>
      <c r="AA52" s="35">
        <f>SUM(AA2:AA49)</f>
        <v>771.71399999999994</v>
      </c>
      <c r="AB52" s="21">
        <f>SUM(AB2:AB51)</f>
        <v>2.6197569444444442</v>
      </c>
    </row>
    <row r="53" spans="1:40" x14ac:dyDescent="0.25">
      <c r="A53" s="6"/>
      <c r="D53">
        <f>SUM(D2:D49)</f>
        <v>562</v>
      </c>
      <c r="E53">
        <f>SUM(E2:E49)</f>
        <v>586.70000000000005</v>
      </c>
      <c r="H53" s="48"/>
      <c r="I53">
        <f>SUM(I2:I49)</f>
        <v>60</v>
      </c>
      <c r="J53">
        <f>SUM(J2:J49)</f>
        <v>61.51</v>
      </c>
      <c r="P53">
        <f>SUM(P2:P49)</f>
        <v>84.820000000000007</v>
      </c>
      <c r="T53">
        <f>SUM(T2:T49)</f>
        <v>23</v>
      </c>
      <c r="U53"/>
    </row>
    <row r="54" spans="1:40" x14ac:dyDescent="0.25">
      <c r="A54" s="6"/>
    </row>
    <row r="55" spans="1:40" x14ac:dyDescent="0.25">
      <c r="A55" s="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66"/>
  <sheetViews>
    <sheetView zoomScaleNormal="100" workbookViewId="0">
      <pane ySplit="1" topLeftCell="A2" activePane="bottomLeft" state="frozen"/>
      <selection pane="bottomLeft" activeCell="F16" sqref="F16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13.7109375" bestFit="1" customWidth="1"/>
    <col min="5" max="5" width="8.140625" style="46" customWidth="1"/>
    <col min="6" max="6" width="8.140625" style="41" customWidth="1"/>
    <col min="7" max="7" width="9.28515625" bestFit="1" customWidth="1"/>
    <col min="8" max="10" width="8.140625" style="13" customWidth="1"/>
    <col min="11" max="11" width="8.140625" style="261" customWidth="1"/>
    <col min="12" max="13" width="8.140625" customWidth="1"/>
    <col min="14" max="18" width="8.140625" style="13" customWidth="1"/>
    <col min="19" max="19" width="8.140625" customWidth="1"/>
    <col min="20" max="20" width="6.28515625" customWidth="1"/>
    <col min="21" max="21" width="8.140625" style="13" customWidth="1"/>
    <col min="22" max="22" width="7.5703125" style="13" bestFit="1" customWidth="1"/>
    <col min="23" max="23" width="8.140625" style="13" bestFit="1" customWidth="1"/>
    <col min="24" max="29" width="8.140625" customWidth="1"/>
  </cols>
  <sheetData>
    <row r="1" spans="1:23" s="6" customFormat="1" x14ac:dyDescent="0.25">
      <c r="D1" s="6" t="s">
        <v>287</v>
      </c>
      <c r="E1" s="300" t="s">
        <v>1</v>
      </c>
      <c r="F1" s="40" t="s">
        <v>4</v>
      </c>
      <c r="G1" s="6" t="s">
        <v>7</v>
      </c>
      <c r="H1" s="12" t="s">
        <v>4</v>
      </c>
      <c r="I1" s="6" t="s">
        <v>149</v>
      </c>
      <c r="J1" s="12" t="s">
        <v>148</v>
      </c>
      <c r="K1" s="256" t="s">
        <v>8</v>
      </c>
      <c r="L1" s="6" t="s">
        <v>45</v>
      </c>
      <c r="M1" s="6" t="s">
        <v>7</v>
      </c>
      <c r="N1" s="12" t="s">
        <v>4</v>
      </c>
      <c r="O1" s="6" t="s">
        <v>149</v>
      </c>
      <c r="P1" s="12" t="s">
        <v>148</v>
      </c>
      <c r="Q1" s="111" t="s">
        <v>8</v>
      </c>
      <c r="R1" s="12" t="s">
        <v>19</v>
      </c>
      <c r="S1" s="9" t="s">
        <v>6</v>
      </c>
      <c r="T1" s="9" t="s">
        <v>5</v>
      </c>
      <c r="U1" s="12" t="s">
        <v>8</v>
      </c>
      <c r="V1" s="6" t="s">
        <v>25</v>
      </c>
      <c r="W1" s="6" t="s">
        <v>22</v>
      </c>
    </row>
    <row r="2" spans="1:23" x14ac:dyDescent="0.25">
      <c r="A2" s="10"/>
      <c r="B2" s="1" t="s">
        <v>24</v>
      </c>
      <c r="C2" s="81">
        <v>42920</v>
      </c>
      <c r="D2" s="81"/>
      <c r="E2" s="32">
        <f>12*1.609</f>
        <v>19.308</v>
      </c>
      <c r="F2" s="54">
        <v>10.56</v>
      </c>
      <c r="G2" s="51" t="s">
        <v>372</v>
      </c>
      <c r="H2" s="52">
        <v>0.22152777777777777</v>
      </c>
      <c r="I2" s="159"/>
      <c r="J2" s="157">
        <v>150</v>
      </c>
      <c r="K2" s="258">
        <v>3.9027777777777779E-2</v>
      </c>
      <c r="L2" s="11"/>
      <c r="M2" s="11"/>
      <c r="N2" s="52"/>
      <c r="O2" s="161"/>
      <c r="P2" s="157"/>
      <c r="Q2" s="233"/>
      <c r="R2" s="41">
        <f t="shared" ref="R2:R29" si="0">F2+L2</f>
        <v>10.56</v>
      </c>
      <c r="S2" s="87">
        <f>E2+L2</f>
        <v>19.308</v>
      </c>
      <c r="T2" s="27">
        <f t="shared" ref="T2:T29" si="1">R2-S2</f>
        <v>-8.7479999999999993</v>
      </c>
      <c r="U2" s="63">
        <f t="shared" ref="U2:U30" si="2">K2+Q2</f>
        <v>3.9027777777777779E-2</v>
      </c>
      <c r="V2" s="59"/>
      <c r="W2" s="51"/>
    </row>
    <row r="3" spans="1:23" x14ac:dyDescent="0.25">
      <c r="A3" s="10"/>
      <c r="B3" s="1" t="s">
        <v>15</v>
      </c>
      <c r="C3" s="81">
        <v>42921</v>
      </c>
      <c r="D3" s="81"/>
      <c r="E3" s="32">
        <f>5*1.609</f>
        <v>8.0449999999999999</v>
      </c>
      <c r="F3" s="54">
        <v>5.57</v>
      </c>
      <c r="G3" s="51" t="s">
        <v>373</v>
      </c>
      <c r="H3" s="52">
        <v>0.20555555555555557</v>
      </c>
      <c r="I3" s="161"/>
      <c r="J3" s="157">
        <v>157</v>
      </c>
      <c r="K3" s="258">
        <v>1.9108796296296294E-2</v>
      </c>
      <c r="L3" s="11"/>
      <c r="M3" s="2"/>
      <c r="N3" s="52"/>
      <c r="O3" s="161"/>
      <c r="P3" s="157"/>
      <c r="Q3" s="233"/>
      <c r="R3" s="41">
        <f t="shared" si="0"/>
        <v>5.57</v>
      </c>
      <c r="S3" s="87">
        <f>E3+L3</f>
        <v>8.0449999999999999</v>
      </c>
      <c r="T3" s="27">
        <f t="shared" si="1"/>
        <v>-2.4749999999999996</v>
      </c>
      <c r="U3" s="63">
        <f t="shared" si="2"/>
        <v>1.9108796296296294E-2</v>
      </c>
      <c r="V3" s="59"/>
      <c r="W3" s="51"/>
    </row>
    <row r="4" spans="1:23" x14ac:dyDescent="0.25">
      <c r="A4" s="10">
        <v>27</v>
      </c>
      <c r="B4" s="1" t="s">
        <v>26</v>
      </c>
      <c r="C4" s="81">
        <v>42922</v>
      </c>
      <c r="D4" s="81"/>
      <c r="E4" s="32">
        <f>10*1.609</f>
        <v>16.09</v>
      </c>
      <c r="F4" s="54">
        <v>9.15</v>
      </c>
      <c r="G4" s="51" t="s">
        <v>372</v>
      </c>
      <c r="H4" s="52">
        <v>0.20972222222222223</v>
      </c>
      <c r="I4" s="159"/>
      <c r="J4" s="157">
        <v>159</v>
      </c>
      <c r="K4" s="258">
        <v>3.1967592592592589E-2</v>
      </c>
      <c r="L4" s="11"/>
      <c r="M4" s="11"/>
      <c r="N4" s="52"/>
      <c r="O4" s="161"/>
      <c r="P4" s="157"/>
      <c r="Q4" s="233"/>
      <c r="R4" s="41">
        <f t="shared" si="0"/>
        <v>9.15</v>
      </c>
      <c r="S4" s="87">
        <f>E4+L4</f>
        <v>16.09</v>
      </c>
      <c r="T4" s="27">
        <f t="shared" si="1"/>
        <v>-6.9399999999999995</v>
      </c>
      <c r="U4" s="63">
        <f t="shared" si="2"/>
        <v>3.1967592592592589E-2</v>
      </c>
      <c r="V4" s="59"/>
      <c r="W4" s="51"/>
    </row>
    <row r="5" spans="1:23" x14ac:dyDescent="0.25">
      <c r="A5" s="10"/>
      <c r="B5" s="1" t="s">
        <v>18</v>
      </c>
      <c r="C5" s="81">
        <v>42924</v>
      </c>
      <c r="D5" s="81"/>
      <c r="E5" s="301"/>
      <c r="F5" s="54">
        <v>21</v>
      </c>
      <c r="G5" s="2" t="s">
        <v>374</v>
      </c>
      <c r="H5" s="52">
        <v>0.22569444444444445</v>
      </c>
      <c r="I5" s="161"/>
      <c r="J5" s="157">
        <v>156</v>
      </c>
      <c r="K5" s="258">
        <v>7.9120370370370369E-2</v>
      </c>
      <c r="L5" s="11"/>
      <c r="M5" s="11"/>
      <c r="N5" s="52"/>
      <c r="O5" s="161"/>
      <c r="P5" s="157"/>
      <c r="Q5" s="233"/>
      <c r="R5" s="41">
        <f t="shared" si="0"/>
        <v>21</v>
      </c>
      <c r="S5" s="87">
        <f>E5+L5+H5</f>
        <v>0.22569444444444445</v>
      </c>
      <c r="T5" s="27">
        <f t="shared" si="1"/>
        <v>20.774305555555557</v>
      </c>
      <c r="U5" s="63">
        <f t="shared" si="2"/>
        <v>7.9120370370370369E-2</v>
      </c>
      <c r="V5" s="59"/>
      <c r="W5" s="51"/>
    </row>
    <row r="6" spans="1:23" x14ac:dyDescent="0.25">
      <c r="A6" s="56"/>
      <c r="B6" s="17" t="s">
        <v>27</v>
      </c>
      <c r="C6" s="85">
        <v>42925</v>
      </c>
      <c r="D6" s="85"/>
      <c r="E6" s="33"/>
      <c r="F6" s="42"/>
      <c r="G6" s="21" t="s">
        <v>375</v>
      </c>
      <c r="H6" s="22">
        <v>0.24444444444444446</v>
      </c>
      <c r="I6" s="160"/>
      <c r="J6" s="156">
        <v>154</v>
      </c>
      <c r="K6" s="259">
        <v>0.13922453703703705</v>
      </c>
      <c r="L6" s="18"/>
      <c r="M6" s="18"/>
      <c r="N6" s="20"/>
      <c r="O6" s="160"/>
      <c r="P6" s="156"/>
      <c r="Q6" s="265"/>
      <c r="R6" s="225">
        <f t="shared" si="0"/>
        <v>0</v>
      </c>
      <c r="S6" s="88">
        <f>E6+L6+H6</f>
        <v>0.24444444444444446</v>
      </c>
      <c r="T6" s="34">
        <f t="shared" si="1"/>
        <v>-0.24444444444444446</v>
      </c>
      <c r="U6" s="58">
        <f t="shared" si="2"/>
        <v>0.13922453703703705</v>
      </c>
      <c r="V6" s="57">
        <f>SUM(R2:R6)</f>
        <v>46.28</v>
      </c>
      <c r="W6" s="21">
        <f>SUM(U2:U6)</f>
        <v>0.30844907407407407</v>
      </c>
    </row>
    <row r="7" spans="1:23" x14ac:dyDescent="0.25">
      <c r="A7" s="10"/>
      <c r="B7" s="1" t="s">
        <v>24</v>
      </c>
      <c r="C7" s="81">
        <v>42927</v>
      </c>
      <c r="D7" s="81"/>
      <c r="E7" s="32">
        <f>15*1.609</f>
        <v>24.134999999999998</v>
      </c>
      <c r="F7" s="54">
        <v>18.399999999999999</v>
      </c>
      <c r="G7" s="2" t="s">
        <v>372</v>
      </c>
      <c r="H7" s="52">
        <v>0.20347222222222219</v>
      </c>
      <c r="I7" s="159"/>
      <c r="J7" s="157">
        <v>162</v>
      </c>
      <c r="K7" s="258">
        <v>6.2418981481481478E-2</v>
      </c>
      <c r="L7" s="11"/>
      <c r="M7" s="11"/>
      <c r="N7" s="50"/>
      <c r="O7" s="161"/>
      <c r="P7" s="157"/>
      <c r="Q7" s="263"/>
      <c r="R7" s="41">
        <f t="shared" si="0"/>
        <v>18.399999999999999</v>
      </c>
      <c r="S7" s="87">
        <f>E7+L7</f>
        <v>24.134999999999998</v>
      </c>
      <c r="T7" s="27">
        <f t="shared" si="1"/>
        <v>-5.7349999999999994</v>
      </c>
      <c r="U7" s="63">
        <f t="shared" si="2"/>
        <v>6.2418981481481478E-2</v>
      </c>
      <c r="V7" s="59"/>
      <c r="W7" s="51"/>
    </row>
    <row r="8" spans="1:23" x14ac:dyDescent="0.25">
      <c r="A8" s="10"/>
      <c r="B8" s="1" t="s">
        <v>15</v>
      </c>
      <c r="C8" s="81">
        <v>42928</v>
      </c>
      <c r="D8" s="81"/>
      <c r="E8" s="32">
        <v>8.0500000000000007</v>
      </c>
      <c r="F8" s="54">
        <v>6.21</v>
      </c>
      <c r="G8" s="2" t="s">
        <v>373</v>
      </c>
      <c r="H8" s="52">
        <v>0.21736111111111112</v>
      </c>
      <c r="I8" s="159"/>
      <c r="J8" s="157">
        <v>150</v>
      </c>
      <c r="K8" s="258">
        <v>2.2511574074074073E-2</v>
      </c>
      <c r="L8" s="11"/>
      <c r="M8" s="51"/>
      <c r="N8" s="52"/>
      <c r="O8" s="161"/>
      <c r="P8" s="157"/>
      <c r="Q8" s="233"/>
      <c r="R8" s="41">
        <f t="shared" si="0"/>
        <v>6.21</v>
      </c>
      <c r="S8" s="87">
        <f>E8+L8</f>
        <v>8.0500000000000007</v>
      </c>
      <c r="T8" s="27">
        <f t="shared" si="1"/>
        <v>-1.8400000000000007</v>
      </c>
      <c r="U8" s="63">
        <f t="shared" si="2"/>
        <v>2.2511574074074073E-2</v>
      </c>
      <c r="V8" s="59"/>
      <c r="W8" s="51"/>
    </row>
    <row r="9" spans="1:23" x14ac:dyDescent="0.25">
      <c r="A9" s="10">
        <v>28</v>
      </c>
      <c r="B9" s="1" t="s">
        <v>26</v>
      </c>
      <c r="C9" s="81">
        <v>42929</v>
      </c>
      <c r="D9" s="81"/>
      <c r="E9" s="32">
        <v>16.09</v>
      </c>
      <c r="F9" s="54">
        <v>12.22</v>
      </c>
      <c r="G9" s="51" t="s">
        <v>372</v>
      </c>
      <c r="H9" s="52">
        <v>0.1986111111111111</v>
      </c>
      <c r="I9" s="161"/>
      <c r="J9" s="157">
        <v>158</v>
      </c>
      <c r="K9" s="258">
        <v>4.0474537037037038E-2</v>
      </c>
      <c r="L9" s="11"/>
      <c r="M9" s="11"/>
      <c r="N9" s="52"/>
      <c r="O9" s="161"/>
      <c r="P9" s="157"/>
      <c r="Q9" s="233"/>
      <c r="R9" s="41">
        <f t="shared" si="0"/>
        <v>12.22</v>
      </c>
      <c r="S9" s="87">
        <f>E9+L9</f>
        <v>16.09</v>
      </c>
      <c r="T9" s="27">
        <f t="shared" si="1"/>
        <v>-3.8699999999999992</v>
      </c>
      <c r="U9" s="63">
        <f t="shared" si="2"/>
        <v>4.0474537037037038E-2</v>
      </c>
      <c r="V9" s="59"/>
      <c r="W9" s="51"/>
    </row>
    <row r="10" spans="1:23" x14ac:dyDescent="0.25">
      <c r="A10" s="10"/>
      <c r="B10" s="1" t="s">
        <v>29</v>
      </c>
      <c r="C10" s="81">
        <v>42930</v>
      </c>
      <c r="D10" s="81"/>
      <c r="E10" s="32"/>
      <c r="F10" s="54">
        <v>34</v>
      </c>
      <c r="G10" s="2" t="s">
        <v>374</v>
      </c>
      <c r="H10" s="52">
        <v>0.22222222222222221</v>
      </c>
      <c r="I10" s="161"/>
      <c r="J10" s="157">
        <v>157</v>
      </c>
      <c r="K10" s="258">
        <v>0.12540509259259261</v>
      </c>
      <c r="L10" s="11"/>
      <c r="M10" s="11"/>
      <c r="N10" s="50"/>
      <c r="O10" s="161"/>
      <c r="P10" s="157"/>
      <c r="Q10" s="263"/>
      <c r="R10" s="41">
        <f t="shared" si="0"/>
        <v>34</v>
      </c>
      <c r="S10" s="87">
        <f>E10+L10+H10</f>
        <v>0.22222222222222221</v>
      </c>
      <c r="T10" s="27">
        <f t="shared" si="1"/>
        <v>33.777777777777779</v>
      </c>
      <c r="U10" s="63">
        <f t="shared" si="2"/>
        <v>0.12540509259259261</v>
      </c>
      <c r="V10" s="59"/>
      <c r="W10" s="51"/>
    </row>
    <row r="11" spans="1:23" x14ac:dyDescent="0.25">
      <c r="A11" s="56"/>
      <c r="B11" s="17" t="s">
        <v>0</v>
      </c>
      <c r="C11" s="85">
        <v>42933</v>
      </c>
      <c r="D11" s="85"/>
      <c r="E11" s="33"/>
      <c r="F11" s="42">
        <v>46.56</v>
      </c>
      <c r="G11" s="21" t="s">
        <v>375</v>
      </c>
      <c r="H11" s="22">
        <v>0.24305555555555555</v>
      </c>
      <c r="I11" s="160"/>
      <c r="J11" s="156">
        <v>143</v>
      </c>
      <c r="K11" s="259">
        <v>0.18856481481481482</v>
      </c>
      <c r="L11" s="18"/>
      <c r="M11" s="18"/>
      <c r="N11" s="20"/>
      <c r="O11" s="160"/>
      <c r="P11" s="156"/>
      <c r="Q11" s="266"/>
      <c r="R11" s="225">
        <f t="shared" si="0"/>
        <v>46.56</v>
      </c>
      <c r="S11" s="88">
        <f>E11+L11+H11</f>
        <v>0.24305555555555555</v>
      </c>
      <c r="T11" s="34">
        <f t="shared" si="1"/>
        <v>46.316944444444445</v>
      </c>
      <c r="U11" s="58">
        <f t="shared" si="2"/>
        <v>0.18856481481481482</v>
      </c>
      <c r="V11" s="57">
        <f>SUM(R7:R11)</f>
        <v>117.39</v>
      </c>
      <c r="W11" s="21">
        <f>SUM(U7:U11)</f>
        <v>0.43937499999999996</v>
      </c>
    </row>
    <row r="12" spans="1:23" x14ac:dyDescent="0.25">
      <c r="A12" s="10"/>
      <c r="B12" s="1" t="s">
        <v>24</v>
      </c>
      <c r="C12" s="81">
        <v>42934</v>
      </c>
      <c r="D12" s="81"/>
      <c r="E12" s="32">
        <v>24.14</v>
      </c>
      <c r="F12" s="54">
        <v>24.53</v>
      </c>
      <c r="G12" s="2" t="s">
        <v>372</v>
      </c>
      <c r="H12" s="52">
        <v>0.21527777777777779</v>
      </c>
      <c r="I12" s="159"/>
      <c r="J12" s="157">
        <v>153</v>
      </c>
      <c r="K12" s="258">
        <v>8.8055555555555554E-2</v>
      </c>
      <c r="L12" s="11"/>
      <c r="M12" s="11"/>
      <c r="N12" s="52"/>
      <c r="O12" s="161"/>
      <c r="P12" s="157"/>
      <c r="Q12" s="233"/>
      <c r="R12" s="41">
        <f t="shared" si="0"/>
        <v>24.53</v>
      </c>
      <c r="S12" s="87">
        <f>E12+L12</f>
        <v>24.14</v>
      </c>
      <c r="T12" s="27">
        <f t="shared" si="1"/>
        <v>0.39000000000000057</v>
      </c>
      <c r="U12" s="63">
        <f t="shared" si="2"/>
        <v>8.8055555555555554E-2</v>
      </c>
      <c r="V12" s="59"/>
      <c r="W12" s="51"/>
    </row>
    <row r="13" spans="1:23" x14ac:dyDescent="0.25">
      <c r="A13" s="10"/>
      <c r="B13" s="1" t="s">
        <v>15</v>
      </c>
      <c r="C13" s="81">
        <v>42935</v>
      </c>
      <c r="D13" s="81" t="s">
        <v>44</v>
      </c>
      <c r="E13" s="32">
        <v>8.0500000000000007</v>
      </c>
      <c r="F13" s="54">
        <v>9.5299999999999994</v>
      </c>
      <c r="G13" s="2" t="s">
        <v>373</v>
      </c>
      <c r="H13" s="52">
        <v>0.20833333333333334</v>
      </c>
      <c r="I13" s="161"/>
      <c r="J13" s="157">
        <v>148</v>
      </c>
      <c r="K13" s="258">
        <v>3.3101851851851848E-2</v>
      </c>
      <c r="L13" s="11"/>
      <c r="M13" s="2"/>
      <c r="N13" s="52"/>
      <c r="O13" s="161"/>
      <c r="P13" s="157"/>
      <c r="Q13" s="233"/>
      <c r="R13" s="41">
        <f t="shared" si="0"/>
        <v>9.5299999999999994</v>
      </c>
      <c r="S13" s="87">
        <f>E13+L13</f>
        <v>8.0500000000000007</v>
      </c>
      <c r="T13" s="27">
        <f t="shared" si="1"/>
        <v>1.4799999999999986</v>
      </c>
      <c r="U13" s="63">
        <f t="shared" si="2"/>
        <v>3.3101851851851848E-2</v>
      </c>
      <c r="V13" s="59"/>
      <c r="W13" s="51"/>
    </row>
    <row r="14" spans="1:23" x14ac:dyDescent="0.25">
      <c r="A14" s="10">
        <v>29</v>
      </c>
      <c r="B14" s="1" t="s">
        <v>26</v>
      </c>
      <c r="C14" s="81">
        <v>42936</v>
      </c>
      <c r="D14" s="81"/>
      <c r="E14" s="32">
        <v>16.09</v>
      </c>
      <c r="F14" s="54">
        <v>16.149999999999999</v>
      </c>
      <c r="G14" s="51" t="s">
        <v>372</v>
      </c>
      <c r="H14" s="52">
        <v>0.21597222222222223</v>
      </c>
      <c r="I14" s="159"/>
      <c r="J14" s="157">
        <v>151</v>
      </c>
      <c r="K14" s="258">
        <v>5.8078703703703709E-2</v>
      </c>
      <c r="L14" s="11"/>
      <c r="M14" s="11"/>
      <c r="N14" s="52"/>
      <c r="O14" s="161"/>
      <c r="P14" s="157"/>
      <c r="Q14" s="263"/>
      <c r="R14" s="41">
        <f t="shared" si="0"/>
        <v>16.149999999999999</v>
      </c>
      <c r="S14" s="87">
        <f>E14+L14</f>
        <v>16.09</v>
      </c>
      <c r="T14" s="27">
        <f t="shared" si="1"/>
        <v>5.9999999999998721E-2</v>
      </c>
      <c r="U14" s="63">
        <f t="shared" si="2"/>
        <v>5.8078703703703709E-2</v>
      </c>
      <c r="V14" s="59"/>
      <c r="W14" s="51"/>
    </row>
    <row r="15" spans="1:23" x14ac:dyDescent="0.25">
      <c r="A15" s="10"/>
      <c r="B15" s="1" t="s">
        <v>18</v>
      </c>
      <c r="C15" s="81">
        <v>42938</v>
      </c>
      <c r="D15" s="81"/>
      <c r="E15" s="32"/>
      <c r="F15" s="54">
        <v>45.92</v>
      </c>
      <c r="G15" s="2" t="s">
        <v>376</v>
      </c>
      <c r="H15" s="52">
        <v>0.21944444444444444</v>
      </c>
      <c r="I15" s="161"/>
      <c r="J15" s="157">
        <v>148</v>
      </c>
      <c r="K15" s="258">
        <v>0.16811342592592593</v>
      </c>
      <c r="L15" s="11"/>
      <c r="M15" s="11"/>
      <c r="N15" s="52"/>
      <c r="O15" s="161"/>
      <c r="P15" s="157"/>
      <c r="Q15" s="263"/>
      <c r="R15" s="41">
        <f t="shared" si="0"/>
        <v>45.92</v>
      </c>
      <c r="S15" s="87">
        <f>E15+L15+H15</f>
        <v>0.21944444444444444</v>
      </c>
      <c r="T15" s="27">
        <f t="shared" si="1"/>
        <v>45.70055555555556</v>
      </c>
      <c r="U15" s="63">
        <f t="shared" si="2"/>
        <v>0.16811342592592593</v>
      </c>
      <c r="V15" s="59"/>
      <c r="W15" s="51"/>
    </row>
    <row r="16" spans="1:23" x14ac:dyDescent="0.25">
      <c r="A16" s="56"/>
      <c r="B16" s="17" t="s">
        <v>27</v>
      </c>
      <c r="C16" s="85">
        <v>42939</v>
      </c>
      <c r="D16" s="85"/>
      <c r="E16" s="33"/>
      <c r="F16" s="42"/>
      <c r="G16" s="21" t="s">
        <v>377</v>
      </c>
      <c r="H16" s="22"/>
      <c r="I16" s="160"/>
      <c r="J16" s="156"/>
      <c r="K16" s="259"/>
      <c r="L16" s="18"/>
      <c r="M16" s="21"/>
      <c r="N16" s="22"/>
      <c r="O16" s="160"/>
      <c r="P16" s="156"/>
      <c r="Q16" s="266"/>
      <c r="R16" s="225">
        <f t="shared" si="0"/>
        <v>0</v>
      </c>
      <c r="S16" s="88">
        <f>E16+L16+H16</f>
        <v>0</v>
      </c>
      <c r="T16" s="34">
        <f t="shared" si="1"/>
        <v>0</v>
      </c>
      <c r="U16" s="58">
        <f t="shared" si="2"/>
        <v>0</v>
      </c>
      <c r="V16" s="57">
        <f>SUM(R12:R16)</f>
        <v>96.13</v>
      </c>
      <c r="W16" s="21">
        <f>SUM(U12:U16)</f>
        <v>0.34734953703703708</v>
      </c>
    </row>
    <row r="17" spans="1:23" x14ac:dyDescent="0.25">
      <c r="A17" s="10"/>
      <c r="B17" s="1" t="s">
        <v>24</v>
      </c>
      <c r="C17" s="81">
        <v>42941</v>
      </c>
      <c r="D17" s="81"/>
      <c r="E17" s="32">
        <v>24.14</v>
      </c>
      <c r="F17" s="54"/>
      <c r="G17" s="2" t="s">
        <v>372</v>
      </c>
      <c r="H17" s="52"/>
      <c r="I17" s="159"/>
      <c r="J17" s="157"/>
      <c r="K17" s="258"/>
      <c r="L17" s="11"/>
      <c r="M17" s="11"/>
      <c r="N17" s="50"/>
      <c r="O17" s="161"/>
      <c r="P17" s="157"/>
      <c r="Q17" s="263"/>
      <c r="R17" s="41">
        <f t="shared" si="0"/>
        <v>0</v>
      </c>
      <c r="S17" s="87">
        <f>E17+L17</f>
        <v>24.14</v>
      </c>
      <c r="T17" s="27">
        <f t="shared" si="1"/>
        <v>-24.14</v>
      </c>
      <c r="U17" s="63">
        <f t="shared" si="2"/>
        <v>0</v>
      </c>
      <c r="V17" s="59"/>
      <c r="W17" s="51"/>
    </row>
    <row r="18" spans="1:23" x14ac:dyDescent="0.25">
      <c r="A18" s="10"/>
      <c r="B18" s="1" t="s">
        <v>15</v>
      </c>
      <c r="C18" s="81">
        <v>42942</v>
      </c>
      <c r="D18" s="81"/>
      <c r="E18" s="32">
        <v>8.0500000000000007</v>
      </c>
      <c r="F18" s="54"/>
      <c r="G18" s="2" t="s">
        <v>373</v>
      </c>
      <c r="H18" s="52"/>
      <c r="I18" s="161"/>
      <c r="J18" s="157"/>
      <c r="K18" s="258"/>
      <c r="L18" s="11"/>
      <c r="M18" s="51"/>
      <c r="N18" s="52"/>
      <c r="O18" s="161"/>
      <c r="P18" s="157"/>
      <c r="Q18" s="233"/>
      <c r="R18" s="41">
        <f t="shared" si="0"/>
        <v>0</v>
      </c>
      <c r="S18" s="87">
        <f>E18+L18</f>
        <v>8.0500000000000007</v>
      </c>
      <c r="T18" s="27">
        <f t="shared" si="1"/>
        <v>-8.0500000000000007</v>
      </c>
      <c r="U18" s="63">
        <f t="shared" si="2"/>
        <v>0</v>
      </c>
      <c r="V18" s="59"/>
      <c r="W18" s="51"/>
    </row>
    <row r="19" spans="1:23" x14ac:dyDescent="0.25">
      <c r="A19" s="10">
        <v>30</v>
      </c>
      <c r="B19" s="1" t="s">
        <v>26</v>
      </c>
      <c r="C19" s="81">
        <v>42943</v>
      </c>
      <c r="D19" s="81"/>
      <c r="E19" s="32">
        <v>16.09</v>
      </c>
      <c r="F19" s="54"/>
      <c r="G19" s="51" t="s">
        <v>372</v>
      </c>
      <c r="H19" s="52"/>
      <c r="I19" s="159"/>
      <c r="J19" s="157"/>
      <c r="K19" s="258"/>
      <c r="L19" s="11"/>
      <c r="M19" s="11"/>
      <c r="N19" s="50"/>
      <c r="O19" s="161"/>
      <c r="P19" s="157"/>
      <c r="Q19" s="263"/>
      <c r="R19" s="41">
        <f t="shared" si="0"/>
        <v>0</v>
      </c>
      <c r="S19" s="87">
        <f>E19+L19</f>
        <v>16.09</v>
      </c>
      <c r="T19" s="27">
        <f t="shared" si="1"/>
        <v>-16.09</v>
      </c>
      <c r="U19" s="63">
        <f t="shared" si="2"/>
        <v>0</v>
      </c>
      <c r="V19" s="59"/>
      <c r="W19" s="51"/>
    </row>
    <row r="20" spans="1:23" x14ac:dyDescent="0.25">
      <c r="A20" s="10"/>
      <c r="B20" s="1" t="s">
        <v>18</v>
      </c>
      <c r="C20" s="81">
        <v>42945</v>
      </c>
      <c r="D20" s="81"/>
      <c r="E20" s="32"/>
      <c r="F20" s="54"/>
      <c r="G20" s="2" t="s">
        <v>376</v>
      </c>
      <c r="H20" s="52"/>
      <c r="I20" s="161"/>
      <c r="J20" s="157"/>
      <c r="K20" s="258"/>
      <c r="L20" s="11"/>
      <c r="M20" s="11"/>
      <c r="N20" s="50"/>
      <c r="O20" s="161"/>
      <c r="P20" s="157"/>
      <c r="Q20" s="263"/>
      <c r="R20" s="41">
        <f t="shared" si="0"/>
        <v>0</v>
      </c>
      <c r="S20" s="87">
        <f>E20+L20+H20</f>
        <v>0</v>
      </c>
      <c r="T20" s="27">
        <f t="shared" si="1"/>
        <v>0</v>
      </c>
      <c r="U20" s="63">
        <f t="shared" si="2"/>
        <v>0</v>
      </c>
      <c r="V20" s="59"/>
      <c r="W20" s="51"/>
    </row>
    <row r="21" spans="1:23" x14ac:dyDescent="0.25">
      <c r="A21" s="56"/>
      <c r="B21" s="17" t="s">
        <v>27</v>
      </c>
      <c r="C21" s="85">
        <v>42946</v>
      </c>
      <c r="D21" s="85"/>
      <c r="E21" s="33"/>
      <c r="F21" s="42"/>
      <c r="G21" s="21" t="s">
        <v>378</v>
      </c>
      <c r="H21" s="22"/>
      <c r="I21" s="160"/>
      <c r="J21" s="156"/>
      <c r="K21" s="259"/>
      <c r="L21" s="18"/>
      <c r="M21" s="21"/>
      <c r="N21" s="22"/>
      <c r="O21" s="160"/>
      <c r="P21" s="156"/>
      <c r="Q21" s="266"/>
      <c r="R21" s="225">
        <f t="shared" si="0"/>
        <v>0</v>
      </c>
      <c r="S21" s="88">
        <f>E21+L21+H21</f>
        <v>0</v>
      </c>
      <c r="T21" s="34">
        <f t="shared" si="1"/>
        <v>0</v>
      </c>
      <c r="U21" s="58">
        <f t="shared" si="2"/>
        <v>0</v>
      </c>
      <c r="V21" s="57">
        <f>SUM(R17:R21)</f>
        <v>0</v>
      </c>
      <c r="W21" s="21">
        <f>SUM(U17:U21)</f>
        <v>0</v>
      </c>
    </row>
    <row r="22" spans="1:23" x14ac:dyDescent="0.25">
      <c r="A22" s="10"/>
      <c r="B22" s="1" t="s">
        <v>24</v>
      </c>
      <c r="C22" s="81">
        <v>42948</v>
      </c>
      <c r="D22" s="81"/>
      <c r="E22" s="32">
        <v>24.14</v>
      </c>
      <c r="F22" s="54"/>
      <c r="G22" s="51" t="s">
        <v>372</v>
      </c>
      <c r="H22" s="52"/>
      <c r="I22" s="159"/>
      <c r="J22" s="157"/>
      <c r="K22" s="258"/>
      <c r="L22" s="11"/>
      <c r="M22" s="11"/>
      <c r="N22" s="50"/>
      <c r="O22" s="161"/>
      <c r="P22" s="157"/>
      <c r="Q22" s="263"/>
      <c r="R22" s="41">
        <f t="shared" si="0"/>
        <v>0</v>
      </c>
      <c r="S22" s="87">
        <f>E22+L22</f>
        <v>24.14</v>
      </c>
      <c r="T22" s="27">
        <f t="shared" si="1"/>
        <v>-24.14</v>
      </c>
      <c r="U22" s="63">
        <f t="shared" si="2"/>
        <v>0</v>
      </c>
      <c r="V22" s="59"/>
      <c r="W22" s="51"/>
    </row>
    <row r="23" spans="1:23" x14ac:dyDescent="0.25">
      <c r="A23" s="10"/>
      <c r="B23" s="1" t="s">
        <v>15</v>
      </c>
      <c r="C23" s="81">
        <v>42949</v>
      </c>
      <c r="D23" s="81"/>
      <c r="E23" s="32">
        <v>8.0500000000000007</v>
      </c>
      <c r="F23" s="54"/>
      <c r="G23" s="51" t="s">
        <v>373</v>
      </c>
      <c r="H23" s="52"/>
      <c r="I23" s="161"/>
      <c r="J23" s="157"/>
      <c r="K23" s="258"/>
      <c r="L23" s="11"/>
      <c r="M23" s="51"/>
      <c r="N23" s="52"/>
      <c r="O23" s="161"/>
      <c r="P23" s="157"/>
      <c r="Q23" s="233"/>
      <c r="R23" s="41">
        <f t="shared" si="0"/>
        <v>0</v>
      </c>
      <c r="S23" s="87">
        <f>E23+L23</f>
        <v>8.0500000000000007</v>
      </c>
      <c r="T23" s="27">
        <f t="shared" si="1"/>
        <v>-8.0500000000000007</v>
      </c>
      <c r="U23" s="63">
        <f t="shared" si="2"/>
        <v>0</v>
      </c>
      <c r="V23" s="59"/>
      <c r="W23" s="51"/>
    </row>
    <row r="24" spans="1:23" x14ac:dyDescent="0.25">
      <c r="A24" s="10">
        <v>31</v>
      </c>
      <c r="B24" s="1" t="s">
        <v>26</v>
      </c>
      <c r="C24" s="81">
        <v>42950</v>
      </c>
      <c r="D24" s="81"/>
      <c r="E24" s="32">
        <v>16.09</v>
      </c>
      <c r="F24" s="54"/>
      <c r="G24" s="51" t="s">
        <v>372</v>
      </c>
      <c r="H24" s="52"/>
      <c r="I24" s="159"/>
      <c r="J24" s="157"/>
      <c r="K24" s="258"/>
      <c r="L24" s="27"/>
      <c r="M24" s="51"/>
      <c r="N24" s="52"/>
      <c r="O24" s="161"/>
      <c r="P24" s="157"/>
      <c r="Q24" s="233"/>
      <c r="R24" s="41">
        <f t="shared" si="0"/>
        <v>0</v>
      </c>
      <c r="S24" s="87">
        <f>E24+L24</f>
        <v>16.09</v>
      </c>
      <c r="T24" s="27">
        <f t="shared" si="1"/>
        <v>-16.09</v>
      </c>
      <c r="U24" s="63">
        <f t="shared" si="2"/>
        <v>0</v>
      </c>
      <c r="V24" s="59"/>
      <c r="W24" s="51"/>
    </row>
    <row r="25" spans="1:23" x14ac:dyDescent="0.25">
      <c r="A25" s="10"/>
      <c r="B25" s="1" t="s">
        <v>18</v>
      </c>
      <c r="C25" s="81">
        <v>42952</v>
      </c>
      <c r="D25" s="81"/>
      <c r="E25" s="32"/>
      <c r="F25" s="54"/>
      <c r="G25" s="2" t="s">
        <v>376</v>
      </c>
      <c r="H25" s="52"/>
      <c r="I25" s="161"/>
      <c r="J25" s="157"/>
      <c r="K25" s="258"/>
      <c r="L25" s="27"/>
      <c r="M25" s="51"/>
      <c r="N25" s="52"/>
      <c r="O25" s="161"/>
      <c r="P25" s="157"/>
      <c r="Q25" s="233"/>
      <c r="R25" s="41">
        <f t="shared" si="0"/>
        <v>0</v>
      </c>
      <c r="S25" s="87">
        <f>E25+L25+H25</f>
        <v>0</v>
      </c>
      <c r="T25" s="27">
        <f t="shared" si="1"/>
        <v>0</v>
      </c>
      <c r="U25" s="63">
        <f t="shared" si="2"/>
        <v>0</v>
      </c>
      <c r="V25" s="59"/>
      <c r="W25" s="51"/>
    </row>
    <row r="26" spans="1:23" x14ac:dyDescent="0.25">
      <c r="A26" s="56"/>
      <c r="B26" s="17" t="s">
        <v>27</v>
      </c>
      <c r="C26" s="85">
        <v>42953</v>
      </c>
      <c r="D26" s="85"/>
      <c r="E26" s="33"/>
      <c r="F26" s="42"/>
      <c r="G26" s="21" t="s">
        <v>379</v>
      </c>
      <c r="H26" s="22"/>
      <c r="I26" s="160"/>
      <c r="J26" s="156"/>
      <c r="K26" s="259"/>
      <c r="L26" s="18"/>
      <c r="M26" s="21"/>
      <c r="N26" s="20"/>
      <c r="O26" s="160"/>
      <c r="P26" s="156"/>
      <c r="Q26" s="265"/>
      <c r="R26" s="225">
        <f t="shared" si="0"/>
        <v>0</v>
      </c>
      <c r="S26" s="88">
        <f>E26+L26+H26</f>
        <v>0</v>
      </c>
      <c r="T26" s="34">
        <f t="shared" si="1"/>
        <v>0</v>
      </c>
      <c r="U26" s="58">
        <f t="shared" si="2"/>
        <v>0</v>
      </c>
      <c r="V26" s="57">
        <f>SUM(R22:R26)</f>
        <v>0</v>
      </c>
      <c r="W26" s="21">
        <f>SUM(U22:U26)</f>
        <v>0</v>
      </c>
    </row>
    <row r="27" spans="1:23" x14ac:dyDescent="0.25">
      <c r="A27" s="10"/>
      <c r="B27" s="1" t="s">
        <v>24</v>
      </c>
      <c r="C27" s="81">
        <v>42955</v>
      </c>
      <c r="D27" s="81"/>
      <c r="E27" s="32">
        <v>16.09</v>
      </c>
      <c r="F27" s="54"/>
      <c r="G27" s="51" t="s">
        <v>372</v>
      </c>
      <c r="H27" s="52"/>
      <c r="I27" s="159"/>
      <c r="J27" s="157"/>
      <c r="K27" s="258"/>
      <c r="L27" s="11"/>
      <c r="M27" s="11"/>
      <c r="N27" s="50"/>
      <c r="O27" s="161"/>
      <c r="P27" s="157"/>
      <c r="Q27" s="263"/>
      <c r="R27" s="41">
        <f t="shared" si="0"/>
        <v>0</v>
      </c>
      <c r="S27" s="87">
        <f>E27+L27</f>
        <v>16.09</v>
      </c>
      <c r="T27" s="27">
        <f t="shared" si="1"/>
        <v>-16.09</v>
      </c>
      <c r="U27" s="63">
        <f t="shared" si="2"/>
        <v>0</v>
      </c>
      <c r="V27" s="59"/>
      <c r="W27" s="51"/>
    </row>
    <row r="28" spans="1:23" x14ac:dyDescent="0.25">
      <c r="A28" s="10">
        <v>32</v>
      </c>
      <c r="B28" s="1" t="s">
        <v>15</v>
      </c>
      <c r="C28" s="81">
        <v>42956</v>
      </c>
      <c r="D28" s="81"/>
      <c r="E28" s="32">
        <v>8.0500000000000007</v>
      </c>
      <c r="F28" s="54"/>
      <c r="G28" s="2" t="s">
        <v>373</v>
      </c>
      <c r="H28" s="52"/>
      <c r="I28" s="161"/>
      <c r="J28" s="157"/>
      <c r="K28" s="258"/>
      <c r="L28" s="11"/>
      <c r="M28" s="11"/>
      <c r="N28" s="50"/>
      <c r="O28" s="161"/>
      <c r="P28" s="157"/>
      <c r="Q28" s="263"/>
      <c r="R28" s="41">
        <f t="shared" si="0"/>
        <v>0</v>
      </c>
      <c r="S28" s="87">
        <f>E28+L28</f>
        <v>8.0500000000000007</v>
      </c>
      <c r="T28" s="27">
        <f t="shared" si="1"/>
        <v>-8.0500000000000007</v>
      </c>
      <c r="U28" s="63">
        <f t="shared" si="2"/>
        <v>0</v>
      </c>
      <c r="V28" s="59"/>
      <c r="W28" s="51"/>
    </row>
    <row r="29" spans="1:23" x14ac:dyDescent="0.25">
      <c r="B29" s="17" t="s">
        <v>26</v>
      </c>
      <c r="C29" s="81">
        <v>42957</v>
      </c>
      <c r="D29" s="81"/>
      <c r="E29" s="32">
        <v>8.0500000000000007</v>
      </c>
      <c r="F29" s="54"/>
      <c r="G29" s="21" t="s">
        <v>373</v>
      </c>
      <c r="H29" s="52"/>
      <c r="I29" s="161"/>
      <c r="J29" s="157"/>
      <c r="K29" s="258"/>
      <c r="L29" s="11"/>
      <c r="M29" s="11"/>
      <c r="N29" s="50"/>
      <c r="O29" s="161"/>
      <c r="P29" s="157"/>
      <c r="Q29" s="265"/>
      <c r="R29" s="41">
        <f t="shared" si="0"/>
        <v>0</v>
      </c>
      <c r="S29" s="88">
        <f>E29+L29</f>
        <v>8.0500000000000007</v>
      </c>
      <c r="T29" s="27">
        <f t="shared" si="1"/>
        <v>-8.0500000000000007</v>
      </c>
      <c r="U29" s="58">
        <f t="shared" si="2"/>
        <v>0</v>
      </c>
      <c r="V29" s="33"/>
      <c r="W29" s="33"/>
    </row>
    <row r="30" spans="1:23" x14ac:dyDescent="0.25">
      <c r="A30" s="65"/>
      <c r="B30" s="17" t="s">
        <v>18</v>
      </c>
      <c r="C30" s="86">
        <v>42959</v>
      </c>
      <c r="D30" s="86" t="s">
        <v>371</v>
      </c>
      <c r="E30" s="302"/>
      <c r="F30" s="72"/>
      <c r="G30" s="70"/>
      <c r="H30" s="69"/>
      <c r="I30" s="162"/>
      <c r="J30" s="158"/>
      <c r="K30" s="260"/>
      <c r="L30" s="70">
        <v>160.9</v>
      </c>
      <c r="M30" s="177">
        <v>0.30833333333333335</v>
      </c>
      <c r="N30" s="79"/>
      <c r="O30" s="162"/>
      <c r="P30" s="158"/>
      <c r="Q30" s="270"/>
      <c r="R30" s="75">
        <f>L30</f>
        <v>160.9</v>
      </c>
      <c r="S30" s="88">
        <f>E30+L30</f>
        <v>160.9</v>
      </c>
      <c r="T30" s="67">
        <f>R30-S30</f>
        <v>0</v>
      </c>
      <c r="U30" s="58">
        <f t="shared" si="2"/>
        <v>0</v>
      </c>
      <c r="V30" s="57">
        <f>SUM(R27:R30)</f>
        <v>160.9</v>
      </c>
      <c r="W30" s="21">
        <f>SUM(U27:U30)</f>
        <v>0</v>
      </c>
    </row>
    <row r="31" spans="1:23" s="9" customFormat="1" x14ac:dyDescent="0.25">
      <c r="A31" s="6"/>
      <c r="B31"/>
      <c r="C31"/>
      <c r="D31"/>
      <c r="E31" s="46"/>
      <c r="F31" s="41"/>
      <c r="G31"/>
      <c r="H31" s="13"/>
      <c r="I31" s="159"/>
      <c r="J31" s="147"/>
      <c r="K31" s="261"/>
      <c r="L31"/>
      <c r="M31"/>
      <c r="N31" s="13"/>
      <c r="O31" s="159"/>
      <c r="P31" s="147"/>
      <c r="Q31" s="13"/>
      <c r="R31" s="13"/>
      <c r="S31"/>
      <c r="T31"/>
      <c r="U31" s="13"/>
      <c r="V31" s="13"/>
      <c r="W31" s="13"/>
    </row>
    <row r="32" spans="1:23" s="9" customFormat="1" x14ac:dyDescent="0.25">
      <c r="A32" s="6"/>
      <c r="B32"/>
      <c r="C32"/>
      <c r="D32"/>
      <c r="E32" s="46"/>
      <c r="F32" s="41"/>
      <c r="G32"/>
      <c r="H32" s="13"/>
      <c r="I32" s="159"/>
      <c r="J32" s="147"/>
      <c r="K32" s="261"/>
      <c r="L32"/>
      <c r="M32"/>
      <c r="N32" s="13"/>
      <c r="O32" s="159"/>
      <c r="P32" s="147"/>
      <c r="Q32" s="13"/>
      <c r="R32" s="13">
        <f>SUM(R2:R31)</f>
        <v>420.70000000000005</v>
      </c>
      <c r="S32" s="13">
        <f>SUM(S2:S31)</f>
        <v>430.80286111111116</v>
      </c>
      <c r="T32" s="13">
        <f>R32-S32</f>
        <v>-10.10286111111111</v>
      </c>
      <c r="U32" s="14">
        <f>SUM(U2:U31)</f>
        <v>1.095173611111111</v>
      </c>
      <c r="V32" s="35">
        <f>SUM(V2:V29)</f>
        <v>259.8</v>
      </c>
      <c r="W32" s="21">
        <f>SUM(W2:W31)</f>
        <v>1.095173611111111</v>
      </c>
    </row>
    <row r="33" spans="1:23" s="9" customFormat="1" x14ac:dyDescent="0.25">
      <c r="A33" s="6"/>
      <c r="B33"/>
      <c r="C33"/>
      <c r="D33"/>
      <c r="E33" s="46">
        <f>SUM(E2:E30)</f>
        <v>268.74800000000005</v>
      </c>
      <c r="F33" s="46">
        <f>SUM(F2:F29)</f>
        <v>259.8</v>
      </c>
      <c r="G33"/>
      <c r="H33" s="13"/>
      <c r="I33" s="159"/>
      <c r="J33" s="147"/>
      <c r="K33" s="261"/>
      <c r="L33">
        <f>SUM(L2:L30)</f>
        <v>160.9</v>
      </c>
      <c r="M33"/>
      <c r="N33"/>
      <c r="O33" s="159"/>
      <c r="P33" s="147"/>
      <c r="Q33" s="13"/>
      <c r="R33" s="41"/>
      <c r="S33"/>
      <c r="T33"/>
      <c r="U33" s="13"/>
      <c r="V33" s="13"/>
      <c r="W33" s="13"/>
    </row>
    <row r="34" spans="1:23" s="9" customFormat="1" x14ac:dyDescent="0.25">
      <c r="A34" s="6"/>
      <c r="B34"/>
      <c r="C34"/>
      <c r="D34"/>
      <c r="E34" s="46"/>
      <c r="F34" s="41"/>
      <c r="G34"/>
      <c r="H34" s="13"/>
      <c r="I34" s="159"/>
      <c r="J34" s="147"/>
      <c r="K34" s="261"/>
      <c r="L34"/>
      <c r="M34"/>
      <c r="N34" s="13"/>
      <c r="O34" s="159"/>
      <c r="P34" s="147"/>
      <c r="Q34" s="13"/>
      <c r="R34" s="41"/>
      <c r="S34"/>
      <c r="T34"/>
      <c r="U34" s="13"/>
      <c r="V34" s="13"/>
      <c r="W34" s="13"/>
    </row>
    <row r="35" spans="1:23" s="9" customFormat="1" x14ac:dyDescent="0.25">
      <c r="A35" s="6"/>
      <c r="B35"/>
      <c r="C35"/>
      <c r="D35"/>
      <c r="E35" s="46"/>
      <c r="F35" s="41"/>
      <c r="G35"/>
      <c r="H35" s="13"/>
      <c r="I35" s="159"/>
      <c r="J35" s="147"/>
      <c r="K35" s="261"/>
      <c r="L35"/>
      <c r="M35"/>
      <c r="N35" s="13"/>
      <c r="O35" s="159"/>
      <c r="P35" s="147"/>
      <c r="Q35" s="13"/>
      <c r="R35" s="13"/>
      <c r="S35"/>
      <c r="T35"/>
      <c r="U35" s="13"/>
      <c r="V35" s="13"/>
      <c r="W35" s="13"/>
    </row>
    <row r="36" spans="1:23" s="9" customFormat="1" x14ac:dyDescent="0.25">
      <c r="A36"/>
      <c r="B36"/>
      <c r="C36"/>
      <c r="D36"/>
      <c r="E36" s="46"/>
      <c r="F36" s="41"/>
      <c r="G36"/>
      <c r="H36" s="13"/>
      <c r="I36" s="112"/>
      <c r="J36" s="13"/>
      <c r="K36" s="261"/>
      <c r="L36"/>
      <c r="M36"/>
      <c r="N36" s="13"/>
      <c r="O36" s="112"/>
      <c r="P36" s="13"/>
      <c r="Q36" s="13"/>
      <c r="R36" s="13"/>
      <c r="S36"/>
      <c r="T36"/>
      <c r="U36" s="13"/>
      <c r="V36" s="13"/>
      <c r="W36" s="13"/>
    </row>
    <row r="37" spans="1:23" s="9" customFormat="1" x14ac:dyDescent="0.25">
      <c r="A37"/>
      <c r="B37"/>
      <c r="C37"/>
      <c r="D37"/>
      <c r="E37" s="46"/>
      <c r="F37" s="41"/>
      <c r="G37"/>
      <c r="H37" s="13"/>
      <c r="I37" s="112"/>
      <c r="J37" s="13"/>
      <c r="K37" s="261"/>
      <c r="L37"/>
      <c r="M37"/>
      <c r="N37" s="13"/>
      <c r="O37" s="112"/>
      <c r="P37" s="13"/>
      <c r="Q37" s="13"/>
      <c r="R37" s="13"/>
      <c r="S37"/>
      <c r="T37"/>
      <c r="U37" s="13"/>
      <c r="V37" s="13"/>
      <c r="W37" s="13"/>
    </row>
    <row r="38" spans="1:23" s="9" customFormat="1" x14ac:dyDescent="0.25">
      <c r="A38"/>
      <c r="B38"/>
      <c r="C38"/>
      <c r="D38"/>
      <c r="E38" s="46"/>
      <c r="F38" s="41"/>
      <c r="G38"/>
      <c r="H38" s="13"/>
      <c r="I38" s="112"/>
      <c r="J38" s="13"/>
      <c r="K38" s="261"/>
      <c r="L38"/>
      <c r="M38"/>
      <c r="N38" s="13"/>
      <c r="O38" s="112"/>
      <c r="P38" s="13"/>
      <c r="Q38" s="13"/>
      <c r="R38" s="13"/>
      <c r="S38"/>
      <c r="T38"/>
      <c r="U38" s="13"/>
      <c r="V38" s="13"/>
      <c r="W38" s="13"/>
    </row>
    <row r="39" spans="1:23" s="9" customFormat="1" x14ac:dyDescent="0.25">
      <c r="A39"/>
      <c r="B39"/>
      <c r="C39"/>
      <c r="D39"/>
      <c r="E39" s="46"/>
      <c r="F39" s="41"/>
      <c r="G39"/>
      <c r="H39" s="13"/>
      <c r="I39" s="112"/>
      <c r="J39" s="13"/>
      <c r="K39" s="261"/>
      <c r="L39"/>
      <c r="M39"/>
      <c r="N39" s="13"/>
      <c r="O39" s="112"/>
      <c r="P39" s="13"/>
      <c r="Q39" s="13"/>
      <c r="R39" s="13"/>
      <c r="S39"/>
      <c r="T39"/>
      <c r="U39" s="13"/>
      <c r="V39" s="13"/>
      <c r="W39" s="13"/>
    </row>
    <row r="40" spans="1:23" s="9" customFormat="1" x14ac:dyDescent="0.25">
      <c r="A40"/>
      <c r="B40"/>
      <c r="C40"/>
      <c r="D40"/>
      <c r="E40" s="46"/>
      <c r="F40" s="41"/>
      <c r="G40"/>
      <c r="H40" s="13"/>
      <c r="I40" s="112"/>
      <c r="J40" s="13"/>
      <c r="K40" s="261"/>
      <c r="L40"/>
      <c r="M40"/>
      <c r="N40" s="13"/>
      <c r="O40" s="112"/>
      <c r="P40" s="13"/>
      <c r="Q40" s="13"/>
      <c r="R40" s="13"/>
      <c r="S40"/>
      <c r="T40"/>
      <c r="U40" s="13"/>
      <c r="V40" s="13"/>
      <c r="W40" s="13"/>
    </row>
    <row r="41" spans="1:23" s="9" customFormat="1" x14ac:dyDescent="0.25">
      <c r="A41"/>
      <c r="B41"/>
      <c r="C41"/>
      <c r="D41"/>
      <c r="E41" s="46"/>
      <c r="F41" s="41"/>
      <c r="G41"/>
      <c r="H41" s="13"/>
      <c r="I41" s="112"/>
      <c r="J41" s="13"/>
      <c r="K41" s="261"/>
      <c r="L41"/>
      <c r="M41"/>
      <c r="N41" s="13"/>
      <c r="O41" s="112"/>
      <c r="P41" s="13"/>
      <c r="Q41" s="13"/>
      <c r="R41" s="13"/>
      <c r="S41"/>
      <c r="T41"/>
      <c r="U41" s="13"/>
      <c r="V41" s="13"/>
      <c r="W41" s="13"/>
    </row>
    <row r="42" spans="1:23" s="9" customFormat="1" x14ac:dyDescent="0.25">
      <c r="A42"/>
      <c r="B42"/>
      <c r="C42"/>
      <c r="D42"/>
      <c r="E42" s="46"/>
      <c r="F42" s="41"/>
      <c r="G42"/>
      <c r="H42" s="13"/>
      <c r="I42" s="112"/>
      <c r="J42" s="13"/>
      <c r="K42" s="261"/>
      <c r="L42"/>
      <c r="M42"/>
      <c r="N42" s="13"/>
      <c r="O42" s="112"/>
      <c r="P42" s="13"/>
      <c r="Q42" s="13"/>
      <c r="R42" s="13"/>
      <c r="S42"/>
      <c r="T42"/>
      <c r="U42" s="13"/>
      <c r="V42" s="13"/>
      <c r="W42" s="13"/>
    </row>
    <row r="43" spans="1:23" s="9" customFormat="1" x14ac:dyDescent="0.25">
      <c r="A43"/>
      <c r="B43"/>
      <c r="C43"/>
      <c r="D43"/>
      <c r="E43" s="46"/>
      <c r="F43" s="41"/>
      <c r="G43"/>
      <c r="H43" s="13"/>
      <c r="I43" s="112"/>
      <c r="J43" s="13"/>
      <c r="K43" s="261"/>
      <c r="L43"/>
      <c r="M43"/>
      <c r="N43" s="13"/>
      <c r="O43" s="112"/>
      <c r="P43" s="13"/>
      <c r="Q43" s="13"/>
      <c r="R43" s="13"/>
      <c r="S43"/>
      <c r="T43"/>
      <c r="U43" s="13"/>
      <c r="V43" s="13"/>
      <c r="W43" s="13"/>
    </row>
    <row r="44" spans="1:23" s="9" customFormat="1" x14ac:dyDescent="0.25">
      <c r="A44"/>
      <c r="B44"/>
      <c r="C44"/>
      <c r="D44"/>
      <c r="E44" s="46"/>
      <c r="F44" s="41"/>
      <c r="G44"/>
      <c r="H44" s="13"/>
      <c r="I44" s="112"/>
      <c r="J44" s="13"/>
      <c r="K44" s="261"/>
      <c r="L44"/>
      <c r="M44"/>
      <c r="N44" s="13"/>
      <c r="O44" s="112"/>
      <c r="P44" s="13"/>
      <c r="Q44" s="13"/>
      <c r="R44" s="13"/>
      <c r="S44"/>
      <c r="T44"/>
      <c r="U44" s="13"/>
      <c r="V44" s="13"/>
      <c r="W44" s="13"/>
    </row>
    <row r="45" spans="1:23" s="9" customFormat="1" x14ac:dyDescent="0.25">
      <c r="A45"/>
      <c r="B45"/>
      <c r="C45"/>
      <c r="D45"/>
      <c r="E45" s="46"/>
      <c r="F45" s="41"/>
      <c r="G45"/>
      <c r="H45" s="13"/>
      <c r="I45" s="112"/>
      <c r="J45" s="13"/>
      <c r="K45" s="261"/>
      <c r="L45"/>
      <c r="M45"/>
      <c r="N45" s="13"/>
      <c r="O45" s="112"/>
      <c r="P45" s="13"/>
      <c r="Q45" s="13"/>
      <c r="R45" s="13"/>
      <c r="S45"/>
      <c r="T45"/>
      <c r="U45" s="13"/>
      <c r="V45" s="13"/>
      <c r="W45" s="13"/>
    </row>
    <row r="46" spans="1:23" s="9" customFormat="1" x14ac:dyDescent="0.25">
      <c r="A46"/>
      <c r="B46"/>
      <c r="C46"/>
      <c r="D46"/>
      <c r="E46" s="46"/>
      <c r="F46" s="41"/>
      <c r="G46"/>
      <c r="H46" s="13"/>
      <c r="I46" s="112"/>
      <c r="J46" s="13"/>
      <c r="K46" s="261"/>
      <c r="L46"/>
      <c r="M46"/>
      <c r="N46" s="13"/>
      <c r="O46" s="112"/>
      <c r="P46" s="13"/>
      <c r="Q46" s="13"/>
      <c r="R46" s="13"/>
      <c r="S46"/>
      <c r="T46"/>
      <c r="U46" s="13"/>
      <c r="V46" s="13"/>
      <c r="W46" s="13"/>
    </row>
    <row r="47" spans="1:23" s="9" customFormat="1" x14ac:dyDescent="0.25">
      <c r="A47"/>
      <c r="B47"/>
      <c r="C47"/>
      <c r="D47"/>
      <c r="E47" s="46"/>
      <c r="F47" s="41"/>
      <c r="G47"/>
      <c r="H47" s="13"/>
      <c r="I47" s="112"/>
      <c r="J47" s="13"/>
      <c r="K47" s="261"/>
      <c r="L47"/>
      <c r="M47"/>
      <c r="N47" s="13"/>
      <c r="O47" s="112"/>
      <c r="P47" s="13"/>
      <c r="Q47" s="13"/>
      <c r="R47" s="13"/>
      <c r="S47"/>
      <c r="T47"/>
      <c r="U47" s="13"/>
      <c r="V47" s="13"/>
      <c r="W47" s="13"/>
    </row>
    <row r="48" spans="1:23" s="9" customFormat="1" x14ac:dyDescent="0.25">
      <c r="A48"/>
      <c r="B48"/>
      <c r="C48"/>
      <c r="D48"/>
      <c r="E48" s="46"/>
      <c r="F48" s="41"/>
      <c r="G48"/>
      <c r="H48" s="13"/>
      <c r="I48" s="112"/>
      <c r="J48" s="13"/>
      <c r="K48" s="261"/>
      <c r="L48"/>
      <c r="M48"/>
      <c r="N48" s="13"/>
      <c r="O48" s="112"/>
      <c r="P48" s="13"/>
      <c r="Q48" s="13"/>
      <c r="R48" s="13"/>
      <c r="S48"/>
      <c r="T48"/>
      <c r="U48" s="13"/>
      <c r="V48" s="13"/>
      <c r="W48" s="13"/>
    </row>
    <row r="49" spans="1:23" s="9" customFormat="1" x14ac:dyDescent="0.25">
      <c r="A49"/>
      <c r="B49"/>
      <c r="C49"/>
      <c r="D49"/>
      <c r="E49" s="46"/>
      <c r="F49" s="41"/>
      <c r="G49"/>
      <c r="H49" s="13"/>
      <c r="I49" s="112"/>
      <c r="J49" s="13"/>
      <c r="K49" s="261"/>
      <c r="L49"/>
      <c r="M49"/>
      <c r="N49" s="13"/>
      <c r="O49" s="112"/>
      <c r="P49" s="13"/>
      <c r="Q49" s="13"/>
      <c r="R49" s="13"/>
      <c r="S49"/>
      <c r="T49"/>
      <c r="U49" s="13"/>
      <c r="V49" s="13"/>
      <c r="W49" s="13"/>
    </row>
    <row r="50" spans="1:23" s="9" customFormat="1" x14ac:dyDescent="0.25">
      <c r="A50"/>
      <c r="B50"/>
      <c r="C50"/>
      <c r="D50"/>
      <c r="E50" s="46"/>
      <c r="F50" s="41"/>
      <c r="G50"/>
      <c r="H50" s="13"/>
      <c r="I50" s="112"/>
      <c r="J50" s="13"/>
      <c r="K50" s="261"/>
      <c r="L50"/>
      <c r="M50"/>
      <c r="N50" s="13"/>
      <c r="O50" s="112"/>
      <c r="P50" s="13"/>
      <c r="Q50" s="13"/>
      <c r="R50" s="13"/>
      <c r="S50"/>
      <c r="T50"/>
      <c r="U50" s="13"/>
      <c r="V50" s="13"/>
      <c r="W50" s="13"/>
    </row>
    <row r="51" spans="1:23" s="9" customFormat="1" x14ac:dyDescent="0.25">
      <c r="A51"/>
      <c r="B51"/>
      <c r="C51"/>
      <c r="D51"/>
      <c r="E51" s="46"/>
      <c r="F51" s="41"/>
      <c r="G51"/>
      <c r="H51" s="13"/>
      <c r="I51" s="112"/>
      <c r="J51" s="13"/>
      <c r="K51" s="261"/>
      <c r="L51"/>
      <c r="M51"/>
      <c r="N51" s="13"/>
      <c r="O51" s="112"/>
      <c r="P51" s="13"/>
      <c r="Q51" s="13"/>
      <c r="R51" s="13"/>
      <c r="S51"/>
      <c r="T51"/>
      <c r="U51" s="13"/>
      <c r="V51" s="13"/>
      <c r="W51" s="13"/>
    </row>
    <row r="52" spans="1:23" s="9" customFormat="1" x14ac:dyDescent="0.25">
      <c r="A52"/>
      <c r="B52"/>
      <c r="C52"/>
      <c r="D52"/>
      <c r="E52" s="46"/>
      <c r="F52" s="41"/>
      <c r="G52"/>
      <c r="H52" s="13"/>
      <c r="I52" s="112"/>
      <c r="J52" s="13"/>
      <c r="K52" s="261"/>
      <c r="L52"/>
      <c r="M52"/>
      <c r="N52" s="13"/>
      <c r="O52" s="112"/>
      <c r="P52" s="13"/>
      <c r="Q52" s="13"/>
      <c r="R52" s="13"/>
      <c r="S52"/>
      <c r="T52"/>
      <c r="U52" s="13"/>
      <c r="V52" s="13"/>
      <c r="W52" s="13"/>
    </row>
    <row r="53" spans="1:23" s="9" customFormat="1" x14ac:dyDescent="0.25">
      <c r="A53"/>
      <c r="B53"/>
      <c r="C53"/>
      <c r="D53"/>
      <c r="E53" s="46"/>
      <c r="F53" s="41"/>
      <c r="G53"/>
      <c r="H53" s="13"/>
      <c r="I53" s="112"/>
      <c r="J53" s="13"/>
      <c r="K53" s="261"/>
      <c r="L53"/>
      <c r="M53"/>
      <c r="N53" s="13"/>
      <c r="O53" s="112"/>
      <c r="P53" s="13"/>
      <c r="Q53" s="13"/>
      <c r="R53" s="13"/>
      <c r="S53"/>
      <c r="T53"/>
      <c r="U53" s="13"/>
      <c r="V53" s="13"/>
      <c r="W53" s="13"/>
    </row>
    <row r="54" spans="1:23" s="9" customFormat="1" x14ac:dyDescent="0.25">
      <c r="A54"/>
      <c r="B54"/>
      <c r="C54"/>
      <c r="D54"/>
      <c r="E54" s="46"/>
      <c r="F54" s="41"/>
      <c r="G54"/>
      <c r="H54" s="13"/>
      <c r="I54" s="112"/>
      <c r="J54" s="13"/>
      <c r="K54" s="261"/>
      <c r="L54"/>
      <c r="M54"/>
      <c r="N54" s="13"/>
      <c r="O54" s="112"/>
      <c r="P54" s="13"/>
      <c r="Q54" s="13"/>
      <c r="R54" s="13"/>
      <c r="S54"/>
      <c r="T54"/>
      <c r="U54" s="13"/>
      <c r="V54" s="13"/>
      <c r="W54" s="13"/>
    </row>
    <row r="55" spans="1:23" s="9" customFormat="1" x14ac:dyDescent="0.25">
      <c r="A55"/>
      <c r="B55"/>
      <c r="C55"/>
      <c r="D55"/>
      <c r="E55" s="46"/>
      <c r="F55" s="41"/>
      <c r="G55"/>
      <c r="H55" s="13"/>
      <c r="I55" s="112"/>
      <c r="J55" s="13"/>
      <c r="K55" s="261"/>
      <c r="L55"/>
      <c r="M55"/>
      <c r="N55" s="13"/>
      <c r="O55" s="112"/>
      <c r="P55" s="13"/>
      <c r="Q55" s="13"/>
      <c r="R55" s="13"/>
      <c r="S55"/>
      <c r="T55"/>
      <c r="U55" s="13"/>
      <c r="V55" s="13"/>
      <c r="W55" s="13"/>
    </row>
    <row r="56" spans="1:23" s="9" customFormat="1" x14ac:dyDescent="0.25">
      <c r="A56"/>
      <c r="B56"/>
      <c r="C56"/>
      <c r="D56"/>
      <c r="E56" s="46"/>
      <c r="F56" s="41"/>
      <c r="G56"/>
      <c r="H56" s="13"/>
      <c r="I56" s="112"/>
      <c r="J56" s="13"/>
      <c r="K56" s="261"/>
      <c r="L56"/>
      <c r="M56"/>
      <c r="N56" s="13"/>
      <c r="O56" s="112"/>
      <c r="P56" s="13"/>
      <c r="Q56" s="13"/>
      <c r="R56" s="13"/>
      <c r="S56"/>
      <c r="T56"/>
      <c r="U56" s="13"/>
      <c r="V56" s="13"/>
      <c r="W56" s="13"/>
    </row>
    <row r="57" spans="1:23" s="9" customFormat="1" x14ac:dyDescent="0.25">
      <c r="A57"/>
      <c r="B57"/>
      <c r="C57"/>
      <c r="D57"/>
      <c r="E57" s="46"/>
      <c r="F57" s="41"/>
      <c r="G57"/>
      <c r="H57" s="13"/>
      <c r="I57" s="112"/>
      <c r="J57" s="13"/>
      <c r="K57" s="261"/>
      <c r="L57"/>
      <c r="M57"/>
      <c r="N57" s="13"/>
      <c r="O57" s="112"/>
      <c r="P57" s="13"/>
      <c r="Q57" s="13"/>
      <c r="R57" s="13"/>
      <c r="S57"/>
      <c r="T57"/>
      <c r="U57" s="13"/>
      <c r="V57" s="13"/>
      <c r="W57" s="13"/>
    </row>
    <row r="58" spans="1:23" s="9" customFormat="1" x14ac:dyDescent="0.25">
      <c r="A58"/>
      <c r="B58"/>
      <c r="C58"/>
      <c r="D58"/>
      <c r="E58" s="46"/>
      <c r="F58" s="41"/>
      <c r="G58"/>
      <c r="H58" s="13"/>
      <c r="I58" s="112"/>
      <c r="J58" s="13"/>
      <c r="K58" s="261"/>
      <c r="L58"/>
      <c r="M58"/>
      <c r="N58" s="13"/>
      <c r="O58" s="112"/>
      <c r="P58" s="13"/>
      <c r="Q58" s="13"/>
      <c r="R58" s="13"/>
      <c r="S58"/>
      <c r="T58"/>
      <c r="U58" s="13"/>
      <c r="V58" s="13"/>
      <c r="W58" s="13"/>
    </row>
    <row r="59" spans="1:23" s="9" customFormat="1" x14ac:dyDescent="0.25">
      <c r="A59"/>
      <c r="B59"/>
      <c r="C59"/>
      <c r="D59"/>
      <c r="E59" s="46"/>
      <c r="F59" s="41"/>
      <c r="G59"/>
      <c r="H59" s="13"/>
      <c r="I59" s="112"/>
      <c r="J59" s="13"/>
      <c r="K59" s="261"/>
      <c r="L59"/>
      <c r="M59"/>
      <c r="N59" s="13"/>
      <c r="O59" s="112"/>
      <c r="P59" s="13"/>
      <c r="Q59" s="13"/>
      <c r="R59" s="13"/>
      <c r="S59"/>
      <c r="T59"/>
      <c r="U59" s="13"/>
      <c r="V59" s="13"/>
      <c r="W59" s="13"/>
    </row>
    <row r="60" spans="1:23" s="9" customFormat="1" x14ac:dyDescent="0.25">
      <c r="A60"/>
      <c r="B60"/>
      <c r="C60"/>
      <c r="D60"/>
      <c r="E60" s="46"/>
      <c r="F60" s="41"/>
      <c r="G60"/>
      <c r="H60" s="13"/>
      <c r="I60" s="112"/>
      <c r="J60" s="13"/>
      <c r="K60" s="261"/>
      <c r="L60"/>
      <c r="M60"/>
      <c r="N60" s="13"/>
      <c r="O60" s="112"/>
      <c r="P60" s="13"/>
      <c r="Q60" s="13"/>
      <c r="R60" s="13"/>
      <c r="S60"/>
      <c r="T60"/>
      <c r="U60" s="13"/>
      <c r="V60" s="13"/>
      <c r="W60" s="13"/>
    </row>
    <row r="61" spans="1:23" s="9" customFormat="1" x14ac:dyDescent="0.25">
      <c r="A61"/>
      <c r="B61"/>
      <c r="C61"/>
      <c r="D61"/>
      <c r="E61" s="46"/>
      <c r="F61" s="41"/>
      <c r="G61"/>
      <c r="H61" s="13"/>
      <c r="I61" s="112"/>
      <c r="J61" s="13"/>
      <c r="K61" s="261"/>
      <c r="L61"/>
      <c r="M61"/>
      <c r="N61" s="13"/>
      <c r="O61" s="112"/>
      <c r="P61" s="13"/>
      <c r="Q61" s="13"/>
      <c r="R61" s="13"/>
      <c r="S61"/>
      <c r="T61"/>
      <c r="U61" s="13"/>
      <c r="V61" s="13"/>
      <c r="W61" s="13"/>
    </row>
    <row r="62" spans="1:23" s="13" customFormat="1" x14ac:dyDescent="0.25">
      <c r="A62"/>
      <c r="B62"/>
      <c r="C62"/>
      <c r="D62"/>
      <c r="E62" s="46"/>
      <c r="F62" s="41"/>
      <c r="G62"/>
      <c r="I62" s="112"/>
      <c r="K62" s="261"/>
      <c r="L62"/>
      <c r="M62"/>
      <c r="O62" s="112"/>
      <c r="S62"/>
      <c r="T62"/>
    </row>
    <row r="63" spans="1:23" s="13" customFormat="1" x14ac:dyDescent="0.25">
      <c r="A63"/>
      <c r="B63"/>
      <c r="C63"/>
      <c r="D63"/>
      <c r="E63" s="46"/>
      <c r="F63" s="41"/>
      <c r="G63"/>
      <c r="I63" s="112"/>
      <c r="K63" s="261"/>
      <c r="L63"/>
      <c r="M63"/>
      <c r="O63" s="112"/>
      <c r="S63"/>
      <c r="T63"/>
    </row>
    <row r="64" spans="1:23" s="13" customFormat="1" x14ac:dyDescent="0.25">
      <c r="A64"/>
      <c r="B64"/>
      <c r="C64"/>
      <c r="D64"/>
      <c r="E64" s="46"/>
      <c r="F64" s="41"/>
      <c r="G64"/>
      <c r="I64" s="112"/>
      <c r="K64" s="261"/>
      <c r="L64"/>
      <c r="M64"/>
      <c r="O64" s="112"/>
      <c r="S64"/>
      <c r="T64"/>
    </row>
    <row r="65" spans="1:20" s="13" customFormat="1" x14ac:dyDescent="0.25">
      <c r="A65"/>
      <c r="B65"/>
      <c r="C65"/>
      <c r="D65"/>
      <c r="E65" s="46"/>
      <c r="F65" s="41"/>
      <c r="G65"/>
      <c r="I65" s="112"/>
      <c r="K65" s="261"/>
      <c r="L65"/>
      <c r="M65"/>
      <c r="O65" s="112"/>
      <c r="S65"/>
      <c r="T65"/>
    </row>
    <row r="66" spans="1:20" s="13" customFormat="1" x14ac:dyDescent="0.25">
      <c r="A66"/>
      <c r="B66"/>
      <c r="C66"/>
      <c r="D66"/>
      <c r="E66" s="46"/>
      <c r="F66" s="41"/>
      <c r="G66"/>
      <c r="I66" s="112"/>
      <c r="K66" s="261"/>
      <c r="L66"/>
      <c r="M66"/>
      <c r="S66"/>
      <c r="T66"/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2"/>
  <sheetViews>
    <sheetView zoomScaleNormal="100" workbookViewId="0">
      <pane ySplit="1" topLeftCell="A77" activePane="bottomLeft" state="frozen"/>
      <selection pane="bottomLeft" activeCell="A96" sqref="A96"/>
    </sheetView>
  </sheetViews>
  <sheetFormatPr defaultRowHeight="15" x14ac:dyDescent="0.25"/>
  <cols>
    <col min="1" max="1" width="3" bestFit="1" customWidth="1"/>
    <col min="2" max="3" width="8" bestFit="1" customWidth="1"/>
    <col min="4" max="4" width="12.7109375" bestFit="1" customWidth="1"/>
    <col min="5" max="5" width="8.140625" customWidth="1"/>
    <col min="6" max="6" width="8.140625" style="41" customWidth="1"/>
    <col min="7" max="7" width="8.140625" customWidth="1"/>
    <col min="8" max="10" width="8.140625" style="13" customWidth="1"/>
    <col min="11" max="11" width="8.140625" style="261" customWidth="1"/>
    <col min="12" max="12" width="8.140625" customWidth="1"/>
    <col min="13" max="13" width="8.140625" style="13" customWidth="1"/>
    <col min="14" max="14" width="8.140625" customWidth="1"/>
    <col min="15" max="17" width="8.140625" style="13" customWidth="1"/>
    <col min="18" max="18" width="8.140625" customWidth="1"/>
    <col min="19" max="19" width="8.140625" style="41" customWidth="1"/>
    <col min="20" max="20" width="8.140625" style="46" customWidth="1"/>
    <col min="21" max="21" width="8.140625" style="30" customWidth="1"/>
    <col min="22" max="22" width="8.140625" style="41" customWidth="1"/>
    <col min="23" max="23" width="8.140625" customWidth="1"/>
    <col min="24" max="27" width="8.140625" style="13" customWidth="1"/>
    <col min="28" max="29" width="8.140625" customWidth="1"/>
    <col min="30" max="34" width="8.140625" style="13" customWidth="1"/>
    <col min="35" max="35" width="8.140625" customWidth="1"/>
    <col min="36" max="36" width="6.28515625" customWidth="1"/>
    <col min="37" max="37" width="8.140625" style="13" customWidth="1"/>
    <col min="38" max="38" width="7.5703125" style="13" bestFit="1" customWidth="1"/>
    <col min="39" max="39" width="8.140625" style="13" bestFit="1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8.140625" customWidth="1"/>
    <col min="45" max="45" width="8.140625" style="9" customWidth="1"/>
    <col min="46" max="46" width="8.140625" customWidth="1"/>
    <col min="47" max="49" width="8.140625" style="9" customWidth="1"/>
    <col min="50" max="50" width="8.140625" customWidth="1"/>
    <col min="51" max="57" width="8.140625" style="9" customWidth="1"/>
    <col min="58" max="58" width="8.140625" customWidth="1"/>
    <col min="59" max="59" width="8.140625" style="9" customWidth="1"/>
    <col min="60" max="60" width="10.42578125" bestFit="1" customWidth="1"/>
    <col min="61" max="73" width="8.140625" customWidth="1"/>
  </cols>
  <sheetData>
    <row r="1" spans="1:59" s="6" customFormat="1" x14ac:dyDescent="0.25">
      <c r="D1" s="6" t="s">
        <v>287</v>
      </c>
      <c r="E1" s="7" t="s">
        <v>1</v>
      </c>
      <c r="F1" s="40" t="s">
        <v>4</v>
      </c>
      <c r="G1" s="6" t="s">
        <v>7</v>
      </c>
      <c r="H1" s="12" t="s">
        <v>4</v>
      </c>
      <c r="I1" s="6" t="s">
        <v>149</v>
      </c>
      <c r="J1" s="12" t="s">
        <v>148</v>
      </c>
      <c r="K1" s="256" t="s">
        <v>8</v>
      </c>
      <c r="L1" s="6" t="s">
        <v>16</v>
      </c>
      <c r="M1" s="12" t="s">
        <v>4</v>
      </c>
      <c r="N1" s="6" t="s">
        <v>7</v>
      </c>
      <c r="O1" s="12" t="s">
        <v>4</v>
      </c>
      <c r="P1" s="6" t="s">
        <v>149</v>
      </c>
      <c r="Q1" s="12" t="s">
        <v>148</v>
      </c>
      <c r="R1" s="232" t="s">
        <v>8</v>
      </c>
      <c r="S1" s="231" t="s">
        <v>20</v>
      </c>
      <c r="T1" s="257" t="s">
        <v>42</v>
      </c>
      <c r="U1" s="350" t="s">
        <v>2</v>
      </c>
      <c r="V1" s="40" t="s">
        <v>4</v>
      </c>
      <c r="W1" s="6" t="s">
        <v>7</v>
      </c>
      <c r="X1" s="12" t="s">
        <v>4</v>
      </c>
      <c r="Y1" s="6" t="s">
        <v>149</v>
      </c>
      <c r="Z1" s="12" t="s">
        <v>148</v>
      </c>
      <c r="AA1" s="111" t="s">
        <v>8</v>
      </c>
      <c r="AB1" s="6" t="s">
        <v>45</v>
      </c>
      <c r="AC1" s="6" t="s">
        <v>7</v>
      </c>
      <c r="AD1" s="12" t="s">
        <v>4</v>
      </c>
      <c r="AE1" s="6" t="s">
        <v>149</v>
      </c>
      <c r="AF1" s="12" t="s">
        <v>148</v>
      </c>
      <c r="AG1" s="111" t="s">
        <v>8</v>
      </c>
      <c r="AH1" s="12" t="s">
        <v>19</v>
      </c>
      <c r="AI1" s="9" t="s">
        <v>6</v>
      </c>
      <c r="AJ1" s="9" t="s">
        <v>5</v>
      </c>
      <c r="AK1" s="12" t="s">
        <v>8</v>
      </c>
      <c r="AL1" s="6" t="s">
        <v>25</v>
      </c>
      <c r="AM1" s="6" t="s">
        <v>22</v>
      </c>
      <c r="AN1" s="7" t="s">
        <v>9</v>
      </c>
      <c r="AO1" s="9" t="s">
        <v>5</v>
      </c>
      <c r="AP1" s="6" t="s">
        <v>153</v>
      </c>
      <c r="AQ1" s="9" t="s">
        <v>5</v>
      </c>
      <c r="AR1" s="6" t="s">
        <v>154</v>
      </c>
      <c r="AS1" s="9" t="s">
        <v>5</v>
      </c>
      <c r="AT1" s="6" t="s">
        <v>39</v>
      </c>
      <c r="AU1" s="9" t="s">
        <v>5</v>
      </c>
      <c r="AV1" s="6" t="s">
        <v>155</v>
      </c>
      <c r="AW1" s="9" t="s">
        <v>5</v>
      </c>
      <c r="AX1" s="6" t="s">
        <v>152</v>
      </c>
      <c r="AY1" s="9" t="s">
        <v>5</v>
      </c>
      <c r="AZ1" s="6" t="s">
        <v>157</v>
      </c>
      <c r="BA1" s="9" t="s">
        <v>5</v>
      </c>
      <c r="BB1" s="6" t="s">
        <v>156</v>
      </c>
      <c r="BC1" s="9" t="s">
        <v>5</v>
      </c>
      <c r="BD1" s="6" t="s">
        <v>158</v>
      </c>
      <c r="BE1" s="9" t="s">
        <v>5</v>
      </c>
      <c r="BF1" s="6" t="s">
        <v>159</v>
      </c>
      <c r="BG1" s="37" t="s">
        <v>5</v>
      </c>
    </row>
    <row r="2" spans="1:59" x14ac:dyDescent="0.25">
      <c r="B2" s="1" t="s">
        <v>0</v>
      </c>
      <c r="C2" s="81">
        <v>43045</v>
      </c>
      <c r="D2" s="81"/>
      <c r="E2" s="3">
        <v>10</v>
      </c>
      <c r="F2" s="41">
        <v>10.050000000000001</v>
      </c>
      <c r="G2" s="2"/>
      <c r="H2" s="14">
        <v>0.21180555555555555</v>
      </c>
      <c r="I2" s="159">
        <v>129</v>
      </c>
      <c r="J2" s="147">
        <v>153</v>
      </c>
      <c r="K2" s="258">
        <v>3.5451388888888886E-2</v>
      </c>
      <c r="P2" s="159"/>
      <c r="Q2" s="147"/>
      <c r="R2" s="11"/>
      <c r="S2" s="223"/>
      <c r="T2" s="26"/>
      <c r="Y2" s="159"/>
      <c r="Z2" s="147"/>
      <c r="AA2" s="263"/>
      <c r="AE2" s="159"/>
      <c r="AF2" s="147"/>
      <c r="AG2" s="263"/>
      <c r="AH2" s="13">
        <f t="shared" ref="AH2:AH78" si="0">F2+M2+V2+AB2+S2</f>
        <v>10.050000000000001</v>
      </c>
      <c r="AI2" s="87">
        <f t="shared" ref="AI2:AI78" si="1">E2+L2+V2+AB2+S2</f>
        <v>10</v>
      </c>
      <c r="AJ2" s="27">
        <f t="shared" ref="AJ2:AJ95" si="2">AH2-AI2</f>
        <v>5.0000000000000711E-2</v>
      </c>
      <c r="AK2" s="63">
        <f t="shared" ref="AK2:AK78" si="3">K2+R2+AA2+AG2+T2</f>
        <v>3.5451388888888886E-2</v>
      </c>
      <c r="AL2" s="59"/>
      <c r="AM2"/>
      <c r="AN2" s="3">
        <v>79.3</v>
      </c>
      <c r="AP2">
        <v>94</v>
      </c>
      <c r="AR2">
        <v>97</v>
      </c>
      <c r="AT2">
        <v>99</v>
      </c>
      <c r="AV2">
        <v>58</v>
      </c>
      <c r="AX2">
        <v>58.5</v>
      </c>
      <c r="AZ2">
        <v>41</v>
      </c>
      <c r="BB2">
        <v>41</v>
      </c>
      <c r="BD2">
        <v>29</v>
      </c>
      <c r="BF2">
        <v>29</v>
      </c>
      <c r="BG2" s="39"/>
    </row>
    <row r="3" spans="1:59" x14ac:dyDescent="0.25">
      <c r="B3" s="1" t="s">
        <v>24</v>
      </c>
      <c r="C3" s="81">
        <v>43046</v>
      </c>
      <c r="D3" s="81"/>
      <c r="E3" s="3">
        <v>10</v>
      </c>
      <c r="F3" s="41">
        <v>10.220000000000001</v>
      </c>
      <c r="G3" s="2">
        <v>0.20694444444444446</v>
      </c>
      <c r="H3" s="14">
        <v>0.20486111111111113</v>
      </c>
      <c r="I3" s="159">
        <v>143</v>
      </c>
      <c r="J3" s="147">
        <v>155</v>
      </c>
      <c r="K3" s="258">
        <v>3.4837962962962959E-2</v>
      </c>
      <c r="P3" s="159"/>
      <c r="Q3" s="147"/>
      <c r="R3" s="11"/>
      <c r="S3" s="223"/>
      <c r="T3" s="26"/>
      <c r="Y3" s="159"/>
      <c r="Z3" s="147"/>
      <c r="AA3" s="263"/>
      <c r="AE3" s="159"/>
      <c r="AF3" s="147"/>
      <c r="AG3" s="263"/>
      <c r="AH3" s="13">
        <f t="shared" si="0"/>
        <v>10.220000000000001</v>
      </c>
      <c r="AI3" s="87">
        <f t="shared" si="1"/>
        <v>10</v>
      </c>
      <c r="AJ3" s="27">
        <f t="shared" si="2"/>
        <v>0.22000000000000064</v>
      </c>
      <c r="AK3" s="63">
        <f t="shared" si="3"/>
        <v>3.4837962962962959E-2</v>
      </c>
      <c r="AL3" s="59"/>
      <c r="AM3"/>
      <c r="AN3" s="3"/>
      <c r="AV3"/>
      <c r="AZ3"/>
      <c r="BB3"/>
      <c r="BD3"/>
      <c r="BG3" s="37"/>
    </row>
    <row r="4" spans="1:59" x14ac:dyDescent="0.25">
      <c r="A4" s="25">
        <v>45</v>
      </c>
      <c r="B4" s="1" t="s">
        <v>15</v>
      </c>
      <c r="C4" s="81">
        <v>43047</v>
      </c>
      <c r="D4" s="81"/>
      <c r="E4" s="3">
        <v>10</v>
      </c>
      <c r="F4" s="41">
        <v>10.029999999999999</v>
      </c>
      <c r="G4" s="2"/>
      <c r="H4" s="14"/>
      <c r="I4" s="159">
        <v>129</v>
      </c>
      <c r="J4" s="147">
        <v>160</v>
      </c>
      <c r="K4" s="258">
        <v>3.5787037037037034E-2</v>
      </c>
      <c r="N4" s="2"/>
      <c r="O4" s="14"/>
      <c r="P4" s="159"/>
      <c r="Q4" s="147"/>
      <c r="R4" s="26"/>
      <c r="S4" s="223"/>
      <c r="T4" s="26"/>
      <c r="W4" s="2"/>
      <c r="X4" s="14"/>
      <c r="Y4" s="159"/>
      <c r="Z4" s="147"/>
      <c r="AA4" s="264"/>
      <c r="AE4" s="159"/>
      <c r="AF4" s="147"/>
      <c r="AG4" s="263"/>
      <c r="AH4" s="13">
        <f t="shared" si="0"/>
        <v>10.029999999999999</v>
      </c>
      <c r="AI4" s="87">
        <f t="shared" si="1"/>
        <v>10</v>
      </c>
      <c r="AJ4" s="27">
        <f t="shared" si="2"/>
        <v>2.9999999999999361E-2</v>
      </c>
      <c r="AK4" s="63">
        <f t="shared" si="3"/>
        <v>3.5787037037037034E-2</v>
      </c>
      <c r="AL4" s="59"/>
      <c r="AM4"/>
      <c r="AN4" s="3"/>
      <c r="AV4"/>
      <c r="AZ4"/>
      <c r="BB4"/>
      <c r="BD4"/>
      <c r="BG4" s="37"/>
    </row>
    <row r="5" spans="1:59" x14ac:dyDescent="0.25">
      <c r="A5" s="25"/>
      <c r="B5" s="1" t="s">
        <v>26</v>
      </c>
      <c r="C5" s="81">
        <v>43048</v>
      </c>
      <c r="D5" s="81"/>
      <c r="E5" s="3">
        <v>14</v>
      </c>
      <c r="F5" s="41">
        <v>14.07</v>
      </c>
      <c r="G5" s="2">
        <v>0.20694444444444446</v>
      </c>
      <c r="H5" s="14">
        <v>0.20347222222222219</v>
      </c>
      <c r="I5" s="159">
        <v>143</v>
      </c>
      <c r="J5" s="262">
        <v>156</v>
      </c>
      <c r="K5" s="258">
        <v>4.7673611111111104E-2</v>
      </c>
      <c r="N5" s="2"/>
      <c r="O5" s="14"/>
      <c r="P5" s="159"/>
      <c r="Q5" s="147"/>
      <c r="R5" s="26"/>
      <c r="S5" s="223"/>
      <c r="T5" s="26"/>
      <c r="W5" s="2"/>
      <c r="X5" s="14"/>
      <c r="Y5" s="159"/>
      <c r="Z5" s="147"/>
      <c r="AA5" s="264"/>
      <c r="AE5" s="159"/>
      <c r="AF5" s="147"/>
      <c r="AG5" s="263"/>
      <c r="AH5" s="13">
        <f t="shared" si="0"/>
        <v>14.07</v>
      </c>
      <c r="AI5" s="87">
        <f t="shared" si="1"/>
        <v>14</v>
      </c>
      <c r="AJ5" s="27">
        <f t="shared" si="2"/>
        <v>7.0000000000000284E-2</v>
      </c>
      <c r="AK5" s="63">
        <f t="shared" si="3"/>
        <v>4.7673611111111104E-2</v>
      </c>
      <c r="AL5" s="59"/>
      <c r="AM5"/>
      <c r="AN5" s="3"/>
      <c r="AV5"/>
      <c r="AZ5"/>
      <c r="BB5"/>
      <c r="BD5"/>
      <c r="BG5" s="37"/>
    </row>
    <row r="6" spans="1:59" x14ac:dyDescent="0.25">
      <c r="A6" s="25"/>
      <c r="B6" s="1" t="s">
        <v>29</v>
      </c>
      <c r="C6" s="81">
        <v>43049</v>
      </c>
      <c r="D6" s="81"/>
      <c r="E6" s="3"/>
      <c r="G6" s="2"/>
      <c r="H6" s="14"/>
      <c r="I6" s="159"/>
      <c r="J6" s="147"/>
      <c r="K6" s="258"/>
      <c r="L6">
        <v>6</v>
      </c>
      <c r="M6" s="13">
        <v>6.01</v>
      </c>
      <c r="N6" s="2"/>
      <c r="O6" s="14">
        <v>0.20347222222222219</v>
      </c>
      <c r="P6" s="159">
        <v>143</v>
      </c>
      <c r="Q6" s="147">
        <v>157</v>
      </c>
      <c r="R6" s="26">
        <v>2.0370370370370369E-2</v>
      </c>
      <c r="S6" s="223">
        <v>0.93</v>
      </c>
      <c r="T6" s="26">
        <v>4.1666666666666666E-3</v>
      </c>
      <c r="U6" s="30" t="s">
        <v>202</v>
      </c>
      <c r="V6" s="41">
        <v>6</v>
      </c>
      <c r="W6" s="2">
        <v>0.16388888888888889</v>
      </c>
      <c r="X6" s="14">
        <v>0.16319444444444445</v>
      </c>
      <c r="Y6" s="159">
        <v>171</v>
      </c>
      <c r="Z6" s="147"/>
      <c r="AA6" s="264">
        <v>1.6307870370370372E-2</v>
      </c>
      <c r="AE6" s="159"/>
      <c r="AF6" s="147"/>
      <c r="AG6" s="263"/>
      <c r="AH6" s="13">
        <f t="shared" si="0"/>
        <v>12.94</v>
      </c>
      <c r="AI6" s="87">
        <f t="shared" si="1"/>
        <v>12.93</v>
      </c>
      <c r="AJ6" s="27">
        <f t="shared" si="2"/>
        <v>9.9999999999997868E-3</v>
      </c>
      <c r="AK6" s="63">
        <f t="shared" si="3"/>
        <v>4.0844907407407406E-2</v>
      </c>
      <c r="AL6" s="59"/>
      <c r="AM6"/>
      <c r="AN6" s="3"/>
      <c r="AV6"/>
      <c r="AZ6"/>
      <c r="BB6"/>
      <c r="BD6"/>
      <c r="BG6" s="37"/>
    </row>
    <row r="7" spans="1:59" x14ac:dyDescent="0.25">
      <c r="A7" s="18"/>
      <c r="B7" s="17" t="s">
        <v>27</v>
      </c>
      <c r="C7" s="85">
        <v>43051</v>
      </c>
      <c r="D7" s="85"/>
      <c r="E7" s="19">
        <v>24</v>
      </c>
      <c r="F7" s="42">
        <v>24.05</v>
      </c>
      <c r="G7" s="21">
        <v>0.20694444444444446</v>
      </c>
      <c r="H7" s="22">
        <v>0.19375000000000001</v>
      </c>
      <c r="I7" s="160">
        <v>157</v>
      </c>
      <c r="J7" s="156">
        <v>153</v>
      </c>
      <c r="K7" s="259">
        <v>7.7615740740740735E-2</v>
      </c>
      <c r="L7" s="18"/>
      <c r="M7" s="20"/>
      <c r="N7" s="18"/>
      <c r="O7" s="20"/>
      <c r="P7" s="160"/>
      <c r="Q7" s="156"/>
      <c r="R7" s="18"/>
      <c r="S7" s="224"/>
      <c r="T7" s="84"/>
      <c r="U7" s="31"/>
      <c r="V7" s="42"/>
      <c r="W7" s="18"/>
      <c r="X7" s="20"/>
      <c r="Y7" s="160"/>
      <c r="Z7" s="156"/>
      <c r="AA7" s="265"/>
      <c r="AB7" s="18"/>
      <c r="AC7" s="18"/>
      <c r="AD7" s="20"/>
      <c r="AE7" s="160"/>
      <c r="AF7" s="156"/>
      <c r="AG7" s="265"/>
      <c r="AH7" s="20">
        <f t="shared" si="0"/>
        <v>24.05</v>
      </c>
      <c r="AI7" s="88">
        <f t="shared" si="1"/>
        <v>24</v>
      </c>
      <c r="AJ7" s="18">
        <f t="shared" si="2"/>
        <v>5.0000000000000711E-2</v>
      </c>
      <c r="AK7" s="58">
        <f t="shared" si="3"/>
        <v>7.7615740740740735E-2</v>
      </c>
      <c r="AL7" s="57">
        <f>SUM(AH2:AH7)</f>
        <v>81.36</v>
      </c>
      <c r="AM7" s="21">
        <f>SUM(AK2:AK7)</f>
        <v>0.2722106481481481</v>
      </c>
      <c r="AN7" s="19"/>
      <c r="AO7" s="36"/>
      <c r="AP7" s="18"/>
      <c r="AQ7" s="36"/>
      <c r="AR7" s="18"/>
      <c r="AS7" s="36"/>
      <c r="AT7" s="18"/>
      <c r="AU7" s="36"/>
      <c r="AV7" s="18"/>
      <c r="AW7" s="36"/>
      <c r="AX7" s="18"/>
      <c r="AY7" s="36"/>
      <c r="AZ7" s="18"/>
      <c r="BA7" s="36"/>
      <c r="BB7" s="18"/>
      <c r="BC7" s="36"/>
      <c r="BD7" s="18"/>
      <c r="BE7" s="36"/>
      <c r="BF7" s="18"/>
      <c r="BG7" s="38"/>
    </row>
    <row r="8" spans="1:59" x14ac:dyDescent="0.25">
      <c r="B8" s="1" t="s">
        <v>0</v>
      </c>
      <c r="C8" s="81">
        <v>43052</v>
      </c>
      <c r="D8" s="81"/>
      <c r="E8" s="3">
        <v>10</v>
      </c>
      <c r="F8" s="41">
        <v>10.06</v>
      </c>
      <c r="G8" s="2"/>
      <c r="H8" s="14">
        <v>0.20902777777777778</v>
      </c>
      <c r="I8" s="159">
        <v>129</v>
      </c>
      <c r="J8" s="147">
        <v>155</v>
      </c>
      <c r="K8" s="258">
        <v>3.5046296296296298E-2</v>
      </c>
      <c r="N8" s="2"/>
      <c r="O8" s="14"/>
      <c r="P8" s="159"/>
      <c r="Q8" s="147"/>
      <c r="R8" s="26"/>
      <c r="S8" s="223"/>
      <c r="T8" s="26"/>
      <c r="W8" s="2"/>
      <c r="X8" s="14"/>
      <c r="Y8" s="159"/>
      <c r="Z8" s="147"/>
      <c r="AA8" s="233"/>
      <c r="AE8" s="159"/>
      <c r="AF8" s="147"/>
      <c r="AG8" s="263"/>
      <c r="AH8" s="13">
        <f t="shared" si="0"/>
        <v>10.06</v>
      </c>
      <c r="AI8" s="87">
        <f t="shared" si="1"/>
        <v>10</v>
      </c>
      <c r="AJ8" s="27">
        <f t="shared" si="2"/>
        <v>6.0000000000000497E-2</v>
      </c>
      <c r="AK8" s="63">
        <f t="shared" si="3"/>
        <v>3.5046296296296298E-2</v>
      </c>
      <c r="AL8" s="59"/>
      <c r="AM8"/>
      <c r="AN8" s="3"/>
      <c r="AO8" s="9">
        <f>$AN$2-AN8</f>
        <v>79.3</v>
      </c>
      <c r="AQ8" s="9">
        <f>$AP$2-AP8</f>
        <v>94</v>
      </c>
      <c r="AS8" s="9">
        <f>$AR$2-AR8</f>
        <v>97</v>
      </c>
      <c r="AU8" s="9">
        <f>$AT$2-AT8</f>
        <v>99</v>
      </c>
      <c r="AV8"/>
      <c r="AW8" s="9">
        <f>$AV$2-AV8</f>
        <v>58</v>
      </c>
      <c r="AY8" s="9">
        <f>$AX$2-AX8</f>
        <v>58.5</v>
      </c>
      <c r="AZ8"/>
      <c r="BA8" s="9">
        <f>$AZ$2-AZ8</f>
        <v>41</v>
      </c>
      <c r="BB8"/>
      <c r="BC8" s="9">
        <f>$BB$2-BB8</f>
        <v>41</v>
      </c>
      <c r="BD8"/>
      <c r="BE8" s="9">
        <f>$BD$2-BD8</f>
        <v>29</v>
      </c>
      <c r="BG8" s="37">
        <f>$BF$2-BF8</f>
        <v>29</v>
      </c>
    </row>
    <row r="9" spans="1:59" x14ac:dyDescent="0.25">
      <c r="B9" s="1" t="s">
        <v>24</v>
      </c>
      <c r="C9" s="81">
        <v>43053</v>
      </c>
      <c r="D9" s="81"/>
      <c r="E9" s="3">
        <v>12</v>
      </c>
      <c r="F9" s="41">
        <v>12.04</v>
      </c>
      <c r="G9" s="2">
        <v>0.20694444444444446</v>
      </c>
      <c r="H9" s="14">
        <v>0.20277777777777781</v>
      </c>
      <c r="I9" s="159">
        <v>143</v>
      </c>
      <c r="J9" s="262">
        <v>156</v>
      </c>
      <c r="K9" s="258">
        <v>4.0659722222222222E-2</v>
      </c>
      <c r="N9" s="2"/>
      <c r="O9" s="14"/>
      <c r="P9" s="159"/>
      <c r="Q9" s="147"/>
      <c r="R9" s="26"/>
      <c r="S9" s="223"/>
      <c r="T9" s="26"/>
      <c r="W9" s="2"/>
      <c r="X9" s="14"/>
      <c r="Y9" s="159"/>
      <c r="Z9" s="147"/>
      <c r="AA9" s="233"/>
      <c r="AE9" s="159"/>
      <c r="AF9" s="147"/>
      <c r="AG9" s="263"/>
      <c r="AH9" s="13">
        <f t="shared" si="0"/>
        <v>12.04</v>
      </c>
      <c r="AI9" s="87">
        <f t="shared" si="1"/>
        <v>12</v>
      </c>
      <c r="AJ9" s="27">
        <f t="shared" si="2"/>
        <v>3.9999999999999147E-2</v>
      </c>
      <c r="AK9" s="63">
        <f t="shared" si="3"/>
        <v>4.0659722222222222E-2</v>
      </c>
      <c r="AL9" s="59"/>
      <c r="AM9"/>
      <c r="AN9" s="3"/>
      <c r="AV9"/>
      <c r="AZ9"/>
      <c r="BB9"/>
      <c r="BD9"/>
      <c r="BG9" s="37"/>
    </row>
    <row r="10" spans="1:59" x14ac:dyDescent="0.25">
      <c r="A10" s="6">
        <v>46</v>
      </c>
      <c r="B10" s="1" t="s">
        <v>15</v>
      </c>
      <c r="C10" s="81">
        <v>43054</v>
      </c>
      <c r="D10" s="81"/>
      <c r="E10" s="3">
        <v>10</v>
      </c>
      <c r="F10" s="41">
        <v>14.1</v>
      </c>
      <c r="G10" s="2"/>
      <c r="H10" s="14">
        <v>0.20486111111111113</v>
      </c>
      <c r="I10" s="159">
        <v>129</v>
      </c>
      <c r="J10" s="262">
        <v>152</v>
      </c>
      <c r="K10" s="258">
        <v>4.8055555555555553E-2</v>
      </c>
      <c r="N10" s="2"/>
      <c r="O10" s="14"/>
      <c r="P10" s="159"/>
      <c r="Q10" s="147"/>
      <c r="R10" s="26"/>
      <c r="S10" s="223"/>
      <c r="T10" s="26"/>
      <c r="W10" s="2"/>
      <c r="X10" s="14"/>
      <c r="Y10" s="159"/>
      <c r="Z10" s="147"/>
      <c r="AA10" s="233"/>
      <c r="AE10" s="159"/>
      <c r="AF10" s="147"/>
      <c r="AG10" s="263"/>
      <c r="AH10" s="13">
        <f t="shared" si="0"/>
        <v>14.1</v>
      </c>
      <c r="AI10" s="87">
        <f t="shared" si="1"/>
        <v>10</v>
      </c>
      <c r="AJ10" s="27">
        <f t="shared" si="2"/>
        <v>4.0999999999999996</v>
      </c>
      <c r="AK10" s="63">
        <f t="shared" si="3"/>
        <v>4.8055555555555553E-2</v>
      </c>
      <c r="AL10" s="59"/>
      <c r="AM10"/>
      <c r="AN10" s="3"/>
      <c r="AV10"/>
      <c r="AZ10"/>
      <c r="BB10"/>
      <c r="BD10"/>
      <c r="BG10" s="37"/>
    </row>
    <row r="11" spans="1:59" x14ac:dyDescent="0.25">
      <c r="A11" s="6"/>
      <c r="B11" s="1" t="s">
        <v>26</v>
      </c>
      <c r="C11" s="81">
        <v>43055</v>
      </c>
      <c r="D11" s="81"/>
      <c r="E11" s="3">
        <v>14</v>
      </c>
      <c r="F11" s="41">
        <v>14.01</v>
      </c>
      <c r="G11" s="2">
        <v>0.20694444444444446</v>
      </c>
      <c r="H11" s="14">
        <v>0.1875</v>
      </c>
      <c r="I11" s="159">
        <v>143</v>
      </c>
      <c r="J11" s="147">
        <v>154</v>
      </c>
      <c r="K11" s="258">
        <v>4.372685185185185E-2</v>
      </c>
      <c r="N11" s="2"/>
      <c r="O11" s="14"/>
      <c r="P11" s="159"/>
      <c r="Q11" s="147"/>
      <c r="R11" s="26"/>
      <c r="S11" s="223"/>
      <c r="T11" s="26"/>
      <c r="W11" s="2"/>
      <c r="X11" s="14"/>
      <c r="Y11" s="159"/>
      <c r="Z11" s="147"/>
      <c r="AA11" s="233"/>
      <c r="AE11" s="159"/>
      <c r="AF11" s="147"/>
      <c r="AG11" s="263"/>
      <c r="AH11" s="13">
        <f t="shared" si="0"/>
        <v>14.01</v>
      </c>
      <c r="AI11" s="87">
        <f t="shared" si="1"/>
        <v>14</v>
      </c>
      <c r="AJ11" s="27">
        <f t="shared" si="2"/>
        <v>9.9999999999997868E-3</v>
      </c>
      <c r="AK11" s="63">
        <f t="shared" si="3"/>
        <v>4.372685185185185E-2</v>
      </c>
      <c r="AL11" s="59"/>
      <c r="AM11"/>
      <c r="AN11" s="3"/>
      <c r="AV11"/>
      <c r="AZ11"/>
      <c r="BB11"/>
      <c r="BD11"/>
      <c r="BG11" s="37"/>
    </row>
    <row r="12" spans="1:59" x14ac:dyDescent="0.25">
      <c r="A12" s="6"/>
      <c r="B12" s="1" t="s">
        <v>29</v>
      </c>
      <c r="C12" s="81">
        <v>43056</v>
      </c>
      <c r="D12" s="81"/>
      <c r="E12" s="3"/>
      <c r="G12" s="2"/>
      <c r="H12" s="14"/>
      <c r="I12" s="159"/>
      <c r="J12" s="147"/>
      <c r="K12" s="258"/>
      <c r="L12">
        <v>6</v>
      </c>
      <c r="M12" s="13">
        <v>7.51</v>
      </c>
      <c r="N12" s="2"/>
      <c r="O12" s="14">
        <v>0.20208333333333331</v>
      </c>
      <c r="P12" s="159">
        <v>143</v>
      </c>
      <c r="Q12" s="147">
        <v>139</v>
      </c>
      <c r="R12" s="26">
        <v>2.5347222222222219E-2</v>
      </c>
      <c r="S12" s="223"/>
      <c r="T12" s="26"/>
      <c r="W12" s="2"/>
      <c r="X12" s="14"/>
      <c r="Y12" s="159"/>
      <c r="Z12" s="147"/>
      <c r="AA12" s="233"/>
      <c r="AB12">
        <v>6</v>
      </c>
      <c r="AC12" s="2">
        <v>0.16388888888888889</v>
      </c>
      <c r="AD12" s="14">
        <v>0.16458333333333333</v>
      </c>
      <c r="AE12" s="159">
        <v>170</v>
      </c>
      <c r="AF12" s="147">
        <v>151</v>
      </c>
      <c r="AG12" s="233">
        <v>1.6458333333333332E-2</v>
      </c>
      <c r="AH12" s="13">
        <f t="shared" si="0"/>
        <v>13.51</v>
      </c>
      <c r="AI12" s="87">
        <f t="shared" si="1"/>
        <v>12</v>
      </c>
      <c r="AJ12" s="27">
        <f t="shared" si="2"/>
        <v>1.5099999999999998</v>
      </c>
      <c r="AK12" s="63">
        <f t="shared" si="3"/>
        <v>4.1805555555555554E-2</v>
      </c>
      <c r="AL12" s="59"/>
      <c r="AM12"/>
      <c r="AN12" s="3"/>
      <c r="AV12"/>
      <c r="AZ12"/>
      <c r="BB12"/>
      <c r="BD12"/>
      <c r="BG12" s="37"/>
    </row>
    <row r="13" spans="1:59" x14ac:dyDescent="0.25">
      <c r="A13" s="56"/>
      <c r="B13" s="17" t="s">
        <v>27</v>
      </c>
      <c r="C13" s="85">
        <v>43058</v>
      </c>
      <c r="D13" s="85" t="s">
        <v>418</v>
      </c>
      <c r="E13" s="19">
        <v>24</v>
      </c>
      <c r="F13" s="42">
        <v>21.14</v>
      </c>
      <c r="G13" s="21">
        <v>0.20694444444444446</v>
      </c>
      <c r="H13" s="22">
        <v>0.26874999999999999</v>
      </c>
      <c r="I13" s="160">
        <v>157</v>
      </c>
      <c r="J13" s="156">
        <v>160</v>
      </c>
      <c r="K13" s="259">
        <v>9.4733796296296302E-2</v>
      </c>
      <c r="L13" s="18"/>
      <c r="M13" s="20"/>
      <c r="N13" s="21"/>
      <c r="O13" s="20"/>
      <c r="P13" s="160"/>
      <c r="Q13" s="156"/>
      <c r="R13" s="18"/>
      <c r="S13" s="224"/>
      <c r="T13" s="84"/>
      <c r="U13" s="31"/>
      <c r="V13" s="42"/>
      <c r="W13" s="21"/>
      <c r="X13" s="20"/>
      <c r="Y13" s="160"/>
      <c r="Z13" s="156"/>
      <c r="AA13" s="265"/>
      <c r="AB13" s="18"/>
      <c r="AC13" s="18"/>
      <c r="AD13" s="20"/>
      <c r="AE13" s="160"/>
      <c r="AF13" s="156"/>
      <c r="AG13" s="265"/>
      <c r="AH13" s="20">
        <f t="shared" si="0"/>
        <v>21.14</v>
      </c>
      <c r="AI13" s="88">
        <f t="shared" si="1"/>
        <v>24</v>
      </c>
      <c r="AJ13" s="34">
        <f t="shared" si="2"/>
        <v>-2.8599999999999994</v>
      </c>
      <c r="AK13" s="58">
        <f t="shared" si="3"/>
        <v>9.4733796296296302E-2</v>
      </c>
      <c r="AL13" s="57">
        <f>SUM(AH8:AH13)</f>
        <v>84.86</v>
      </c>
      <c r="AM13" s="21">
        <f>SUM(AK8:AK13)</f>
        <v>0.30402777777777779</v>
      </c>
      <c r="AN13" s="19"/>
      <c r="AO13" s="36"/>
      <c r="AP13" s="18"/>
      <c r="AQ13" s="36"/>
      <c r="AR13" s="18"/>
      <c r="AS13" s="36"/>
      <c r="AT13" s="18"/>
      <c r="AU13" s="36"/>
      <c r="AV13" s="18"/>
      <c r="AW13" s="36"/>
      <c r="AX13" s="18"/>
      <c r="AY13" s="36"/>
      <c r="AZ13" s="18"/>
      <c r="BA13" s="36"/>
      <c r="BB13" s="18"/>
      <c r="BC13" s="36"/>
      <c r="BD13" s="18"/>
      <c r="BE13" s="36"/>
      <c r="BF13" s="18"/>
      <c r="BG13" s="38"/>
    </row>
    <row r="14" spans="1:59" x14ac:dyDescent="0.25">
      <c r="B14" s="1" t="s">
        <v>0</v>
      </c>
      <c r="C14" s="81">
        <v>43059</v>
      </c>
      <c r="D14" s="81"/>
      <c r="E14" s="3">
        <v>10</v>
      </c>
      <c r="F14" s="41">
        <v>8.1300000000000008</v>
      </c>
      <c r="G14" s="2"/>
      <c r="H14" s="14">
        <v>0.21041666666666667</v>
      </c>
      <c r="I14" s="159">
        <v>129</v>
      </c>
      <c r="J14" s="147">
        <v>153</v>
      </c>
      <c r="K14" s="258">
        <v>2.8564814814814817E-2</v>
      </c>
      <c r="N14" s="2"/>
      <c r="O14" s="14"/>
      <c r="P14" s="159"/>
      <c r="Q14" s="147"/>
      <c r="R14" s="26"/>
      <c r="S14" s="223"/>
      <c r="T14" s="26"/>
      <c r="W14" s="2"/>
      <c r="X14" s="14"/>
      <c r="Y14" s="159"/>
      <c r="Z14" s="147"/>
      <c r="AA14" s="233"/>
      <c r="AE14" s="159"/>
      <c r="AF14" s="147"/>
      <c r="AG14" s="263"/>
      <c r="AH14" s="13">
        <f t="shared" si="0"/>
        <v>8.1300000000000008</v>
      </c>
      <c r="AI14" s="87">
        <f t="shared" si="1"/>
        <v>10</v>
      </c>
      <c r="AJ14" s="27">
        <f t="shared" si="2"/>
        <v>-1.8699999999999992</v>
      </c>
      <c r="AK14" s="63">
        <f t="shared" si="3"/>
        <v>2.8564814814814817E-2</v>
      </c>
      <c r="AL14" s="59"/>
      <c r="AM14"/>
      <c r="AN14" s="3"/>
      <c r="AO14" s="9">
        <f>$AN$2-AN14</f>
        <v>79.3</v>
      </c>
      <c r="AQ14" s="9">
        <f>$AP$2-AP14</f>
        <v>94</v>
      </c>
      <c r="AS14" s="9">
        <f>$AR$2-AR14</f>
        <v>97</v>
      </c>
      <c r="AU14" s="9">
        <f>$AT$2-AT14</f>
        <v>99</v>
      </c>
      <c r="AV14"/>
      <c r="AW14" s="9">
        <f>$AV$2-AV14</f>
        <v>58</v>
      </c>
      <c r="AY14" s="9">
        <f>$AX$2-AX14</f>
        <v>58.5</v>
      </c>
      <c r="AZ14"/>
      <c r="BA14" s="9">
        <f>$AZ$2-AZ14</f>
        <v>41</v>
      </c>
      <c r="BB14"/>
      <c r="BC14" s="9">
        <f>$BB$2-BB14</f>
        <v>41</v>
      </c>
      <c r="BD14"/>
      <c r="BE14" s="9">
        <f>$BD$2-BD14</f>
        <v>29</v>
      </c>
      <c r="BG14" s="37">
        <f>$BF$2-BF14</f>
        <v>29</v>
      </c>
    </row>
    <row r="15" spans="1:59" x14ac:dyDescent="0.25">
      <c r="B15" s="1" t="s">
        <v>24</v>
      </c>
      <c r="C15" s="81">
        <v>43060</v>
      </c>
      <c r="D15" s="81"/>
      <c r="E15" s="3">
        <v>12</v>
      </c>
      <c r="F15" s="41">
        <v>12.24</v>
      </c>
      <c r="G15" s="2">
        <v>0.20694444444444446</v>
      </c>
      <c r="H15" s="14">
        <v>0.19791666666666666</v>
      </c>
      <c r="I15" s="159">
        <v>143</v>
      </c>
      <c r="J15" s="262">
        <v>158</v>
      </c>
      <c r="K15" s="258">
        <v>4.040509259259259E-2</v>
      </c>
      <c r="N15" s="2"/>
      <c r="O15" s="14"/>
      <c r="P15" s="159"/>
      <c r="Q15" s="147"/>
      <c r="R15" s="26"/>
      <c r="S15" s="223"/>
      <c r="T15" s="26"/>
      <c r="W15" s="2"/>
      <c r="X15" s="14"/>
      <c r="Y15" s="159"/>
      <c r="Z15" s="147"/>
      <c r="AA15" s="233"/>
      <c r="AE15" s="159"/>
      <c r="AF15" s="147"/>
      <c r="AG15" s="263"/>
      <c r="AH15" s="13">
        <f t="shared" si="0"/>
        <v>12.24</v>
      </c>
      <c r="AI15" s="87">
        <f t="shared" si="1"/>
        <v>12</v>
      </c>
      <c r="AJ15" s="27">
        <f t="shared" si="2"/>
        <v>0.24000000000000021</v>
      </c>
      <c r="AK15" s="63">
        <f t="shared" si="3"/>
        <v>4.040509259259259E-2</v>
      </c>
      <c r="AL15" s="59"/>
      <c r="AM15"/>
      <c r="AN15" s="3"/>
      <c r="AV15"/>
      <c r="AZ15"/>
      <c r="BB15"/>
      <c r="BD15"/>
      <c r="BG15" s="37"/>
    </row>
    <row r="16" spans="1:59" x14ac:dyDescent="0.25">
      <c r="A16" s="6">
        <v>47</v>
      </c>
      <c r="B16" s="1" t="s">
        <v>15</v>
      </c>
      <c r="C16" s="81">
        <v>43061</v>
      </c>
      <c r="D16" s="81"/>
      <c r="E16" s="3">
        <v>10</v>
      </c>
      <c r="F16" s="41">
        <v>10.14</v>
      </c>
      <c r="G16" s="2"/>
      <c r="H16" s="14">
        <v>0.22500000000000001</v>
      </c>
      <c r="I16" s="159">
        <v>129</v>
      </c>
      <c r="J16" s="147">
        <v>156</v>
      </c>
      <c r="K16" s="258">
        <v>3.8067129629629631E-2</v>
      </c>
      <c r="N16" s="2"/>
      <c r="O16" s="14"/>
      <c r="P16" s="159"/>
      <c r="Q16" s="147"/>
      <c r="R16" s="26"/>
      <c r="S16" s="223"/>
      <c r="T16" s="26"/>
      <c r="W16" s="2"/>
      <c r="X16" s="14"/>
      <c r="Y16" s="159"/>
      <c r="Z16" s="147"/>
      <c r="AA16" s="233"/>
      <c r="AE16" s="159"/>
      <c r="AF16" s="147"/>
      <c r="AG16" s="263"/>
      <c r="AH16" s="13">
        <f t="shared" si="0"/>
        <v>10.14</v>
      </c>
      <c r="AI16" s="87">
        <f t="shared" si="1"/>
        <v>10</v>
      </c>
      <c r="AJ16" s="27">
        <f t="shared" si="2"/>
        <v>0.14000000000000057</v>
      </c>
      <c r="AK16" s="63">
        <f t="shared" si="3"/>
        <v>3.8067129629629631E-2</v>
      </c>
      <c r="AL16" s="59"/>
      <c r="AM16"/>
      <c r="AN16" s="3"/>
      <c r="AV16"/>
      <c r="AZ16"/>
      <c r="BB16"/>
      <c r="BD16"/>
      <c r="BG16" s="37"/>
    </row>
    <row r="17" spans="1:59" x14ac:dyDescent="0.25">
      <c r="A17" s="6"/>
      <c r="B17" s="1" t="s">
        <v>26</v>
      </c>
      <c r="C17" s="81">
        <v>43062</v>
      </c>
      <c r="D17" s="81"/>
      <c r="E17" s="3">
        <v>14</v>
      </c>
      <c r="F17" s="41">
        <v>14.64</v>
      </c>
      <c r="G17" s="2">
        <v>0.20694444444444446</v>
      </c>
      <c r="H17" s="14">
        <v>0.19930555555555554</v>
      </c>
      <c r="I17" s="159">
        <v>143</v>
      </c>
      <c r="J17" s="147">
        <v>155</v>
      </c>
      <c r="K17" s="258">
        <v>4.8645833333333333E-2</v>
      </c>
      <c r="N17" s="2"/>
      <c r="O17" s="14"/>
      <c r="P17" s="159"/>
      <c r="Q17" s="147"/>
      <c r="R17" s="26"/>
      <c r="S17" s="223"/>
      <c r="T17" s="26"/>
      <c r="W17" s="2"/>
      <c r="X17" s="14"/>
      <c r="Y17" s="159"/>
      <c r="Z17" s="147"/>
      <c r="AA17" s="233"/>
      <c r="AE17" s="159"/>
      <c r="AF17" s="147"/>
      <c r="AG17" s="263"/>
      <c r="AH17" s="13">
        <f t="shared" si="0"/>
        <v>14.64</v>
      </c>
      <c r="AI17" s="87">
        <f t="shared" si="1"/>
        <v>14</v>
      </c>
      <c r="AJ17" s="27">
        <f t="shared" si="2"/>
        <v>0.64000000000000057</v>
      </c>
      <c r="AK17" s="63">
        <f t="shared" si="3"/>
        <v>4.8645833333333333E-2</v>
      </c>
      <c r="AL17" s="59"/>
      <c r="AM17"/>
      <c r="AN17" s="3"/>
      <c r="AV17"/>
      <c r="AZ17"/>
      <c r="BB17"/>
      <c r="BD17"/>
      <c r="BG17" s="37"/>
    </row>
    <row r="18" spans="1:59" x14ac:dyDescent="0.25">
      <c r="A18" s="6"/>
      <c r="B18" s="1" t="s">
        <v>29</v>
      </c>
      <c r="C18" s="81">
        <v>43063</v>
      </c>
      <c r="D18" s="81"/>
      <c r="E18" s="3"/>
      <c r="G18" s="2"/>
      <c r="H18" s="14"/>
      <c r="I18" s="159"/>
      <c r="J18" s="147"/>
      <c r="K18" s="258"/>
      <c r="L18">
        <v>6</v>
      </c>
      <c r="M18" s="13">
        <v>6.02</v>
      </c>
      <c r="N18" s="2"/>
      <c r="O18" s="14">
        <v>0.20138888888888887</v>
      </c>
      <c r="P18" s="159">
        <v>143</v>
      </c>
      <c r="Q18" s="147">
        <v>151</v>
      </c>
      <c r="R18" s="26">
        <v>2.0219907407407409E-2</v>
      </c>
      <c r="S18" s="223">
        <v>0.97</v>
      </c>
      <c r="T18" s="26">
        <v>4.1666666666666666E-3</v>
      </c>
      <c r="U18" s="30" t="s">
        <v>32</v>
      </c>
      <c r="V18" s="41">
        <v>8</v>
      </c>
      <c r="W18" s="2">
        <v>0.16388888888888889</v>
      </c>
      <c r="X18" s="14">
        <v>0.16180555555555556</v>
      </c>
      <c r="Y18" s="159">
        <v>171</v>
      </c>
      <c r="Z18" s="147">
        <v>152</v>
      </c>
      <c r="AA18" s="233">
        <v>2.1550925925925928E-2</v>
      </c>
      <c r="AE18" s="159"/>
      <c r="AF18" s="147"/>
      <c r="AG18" s="263"/>
      <c r="AH18" s="13">
        <f t="shared" si="0"/>
        <v>14.99</v>
      </c>
      <c r="AI18" s="87">
        <f t="shared" si="1"/>
        <v>14.97</v>
      </c>
      <c r="AJ18" s="27">
        <f t="shared" si="2"/>
        <v>1.9999999999999574E-2</v>
      </c>
      <c r="AK18" s="63">
        <f t="shared" si="3"/>
        <v>4.5937500000000006E-2</v>
      </c>
      <c r="AL18" s="59"/>
      <c r="AM18"/>
      <c r="AN18" s="3"/>
      <c r="AV18"/>
      <c r="AZ18"/>
      <c r="BB18"/>
      <c r="BD18"/>
      <c r="BG18" s="37"/>
    </row>
    <row r="19" spans="1:59" x14ac:dyDescent="0.25">
      <c r="A19" s="56"/>
      <c r="B19" s="17" t="s">
        <v>27</v>
      </c>
      <c r="C19" s="85">
        <v>43065</v>
      </c>
      <c r="D19" s="85"/>
      <c r="E19" s="19">
        <v>26</v>
      </c>
      <c r="F19" s="42">
        <v>27.16</v>
      </c>
      <c r="G19" s="21">
        <v>0.20694444444444446</v>
      </c>
      <c r="H19" s="22">
        <v>0.20069444444444443</v>
      </c>
      <c r="I19" s="160">
        <v>157</v>
      </c>
      <c r="J19" s="156">
        <v>156</v>
      </c>
      <c r="K19" s="259">
        <v>9.07175925925926E-2</v>
      </c>
      <c r="L19" s="18"/>
      <c r="M19" s="20"/>
      <c r="N19" s="18"/>
      <c r="O19" s="20"/>
      <c r="P19" s="160"/>
      <c r="Q19" s="156"/>
      <c r="R19" s="18"/>
      <c r="S19" s="224"/>
      <c r="T19" s="84"/>
      <c r="U19" s="31"/>
      <c r="V19" s="42"/>
      <c r="W19" s="18"/>
      <c r="X19" s="20"/>
      <c r="Y19" s="160"/>
      <c r="Z19" s="156"/>
      <c r="AA19" s="265"/>
      <c r="AB19" s="18"/>
      <c r="AC19" s="18"/>
      <c r="AD19" s="20"/>
      <c r="AE19" s="160"/>
      <c r="AF19" s="156"/>
      <c r="AG19" s="265"/>
      <c r="AH19" s="20">
        <f t="shared" si="0"/>
        <v>27.16</v>
      </c>
      <c r="AI19" s="88">
        <f t="shared" si="1"/>
        <v>26</v>
      </c>
      <c r="AJ19" s="34">
        <f t="shared" si="2"/>
        <v>1.1600000000000001</v>
      </c>
      <c r="AK19" s="58">
        <f t="shared" si="3"/>
        <v>9.07175925925926E-2</v>
      </c>
      <c r="AL19" s="57">
        <f>SUM(AH14:AH19)</f>
        <v>87.300000000000011</v>
      </c>
      <c r="AM19" s="21">
        <f>SUM(AK14:AK19)</f>
        <v>0.29233796296296299</v>
      </c>
      <c r="AN19" s="19"/>
      <c r="AO19" s="36"/>
      <c r="AP19" s="18"/>
      <c r="AQ19" s="36"/>
      <c r="AR19" s="18"/>
      <c r="AS19" s="36"/>
      <c r="AT19" s="18"/>
      <c r="AU19" s="36"/>
      <c r="AV19" s="18"/>
      <c r="AW19" s="36"/>
      <c r="AX19" s="18"/>
      <c r="AY19" s="36"/>
      <c r="AZ19" s="18"/>
      <c r="BA19" s="36"/>
      <c r="BB19" s="18"/>
      <c r="BC19" s="36"/>
      <c r="BD19" s="18"/>
      <c r="BE19" s="36"/>
      <c r="BF19" s="18"/>
      <c r="BG19" s="38"/>
    </row>
    <row r="20" spans="1:59" x14ac:dyDescent="0.25">
      <c r="B20" s="1" t="s">
        <v>0</v>
      </c>
      <c r="C20" s="81">
        <v>43066</v>
      </c>
      <c r="D20" s="81"/>
      <c r="E20" s="3">
        <v>8</v>
      </c>
      <c r="F20" s="41">
        <v>10.23</v>
      </c>
      <c r="G20" s="2"/>
      <c r="H20" s="14">
        <v>0.21597222222222223</v>
      </c>
      <c r="I20" s="159">
        <v>129</v>
      </c>
      <c r="J20" s="147">
        <v>154</v>
      </c>
      <c r="K20" s="258">
        <v>3.6805555555555557E-2</v>
      </c>
      <c r="N20" s="2"/>
      <c r="O20" s="14"/>
      <c r="P20" s="159"/>
      <c r="Q20" s="147"/>
      <c r="R20" s="26"/>
      <c r="S20" s="223"/>
      <c r="T20" s="26"/>
      <c r="W20" s="2"/>
      <c r="X20" s="14"/>
      <c r="Y20" s="159"/>
      <c r="Z20" s="147"/>
      <c r="AA20" s="233"/>
      <c r="AE20" s="159"/>
      <c r="AF20" s="147"/>
      <c r="AG20" s="263"/>
      <c r="AH20" s="13">
        <f t="shared" si="0"/>
        <v>10.23</v>
      </c>
      <c r="AI20" s="87">
        <f t="shared" si="1"/>
        <v>8</v>
      </c>
      <c r="AJ20" s="27">
        <f t="shared" si="2"/>
        <v>2.2300000000000004</v>
      </c>
      <c r="AK20" s="63">
        <f t="shared" si="3"/>
        <v>3.6805555555555557E-2</v>
      </c>
      <c r="AL20" s="59"/>
      <c r="AM20"/>
      <c r="AN20" s="3"/>
      <c r="AO20" s="9">
        <f>$AN$2-AN20</f>
        <v>79.3</v>
      </c>
      <c r="AQ20" s="9">
        <f>$AP$2-AP20</f>
        <v>94</v>
      </c>
      <c r="AS20" s="9">
        <f>$AR$2-AR20</f>
        <v>97</v>
      </c>
      <c r="AU20" s="9">
        <f>$AT$2-AT20</f>
        <v>99</v>
      </c>
      <c r="AV20"/>
      <c r="AW20" s="9">
        <f>$AV$2-AV20</f>
        <v>58</v>
      </c>
      <c r="AY20" s="9">
        <f>$AX$2-AX20</f>
        <v>58.5</v>
      </c>
      <c r="AZ20"/>
      <c r="BA20" s="9">
        <f>$AZ$2-AZ20</f>
        <v>41</v>
      </c>
      <c r="BB20"/>
      <c r="BC20" s="9">
        <f>$BB$2-BB20</f>
        <v>41</v>
      </c>
      <c r="BD20"/>
      <c r="BE20" s="9">
        <f>$BD$2-BD20</f>
        <v>29</v>
      </c>
      <c r="BG20" s="37">
        <f>$BF$2-BF20</f>
        <v>29</v>
      </c>
    </row>
    <row r="21" spans="1:59" x14ac:dyDescent="0.25">
      <c r="B21" s="1" t="s">
        <v>24</v>
      </c>
      <c r="C21" s="81">
        <v>43067</v>
      </c>
      <c r="D21" s="81"/>
      <c r="E21" s="3">
        <v>10</v>
      </c>
      <c r="F21" s="41">
        <v>10.64</v>
      </c>
      <c r="G21" s="2">
        <v>0.20694444444444446</v>
      </c>
      <c r="H21" s="14">
        <v>0.1986111111111111</v>
      </c>
      <c r="I21" s="159">
        <v>143</v>
      </c>
      <c r="J21" s="147">
        <v>158</v>
      </c>
      <c r="K21" s="258">
        <v>3.5185185185185187E-2</v>
      </c>
      <c r="N21" s="2"/>
      <c r="O21" s="14"/>
      <c r="P21" s="159"/>
      <c r="Q21" s="147"/>
      <c r="R21" s="26"/>
      <c r="S21" s="223"/>
      <c r="T21" s="26"/>
      <c r="W21" s="2"/>
      <c r="X21" s="14"/>
      <c r="Y21" s="159"/>
      <c r="Z21" s="147"/>
      <c r="AA21" s="233"/>
      <c r="AE21" s="159"/>
      <c r="AF21" s="147"/>
      <c r="AG21" s="263"/>
      <c r="AH21" s="13">
        <f t="shared" si="0"/>
        <v>10.64</v>
      </c>
      <c r="AI21" s="87">
        <f t="shared" si="1"/>
        <v>10</v>
      </c>
      <c r="AJ21" s="27">
        <f t="shared" si="2"/>
        <v>0.64000000000000057</v>
      </c>
      <c r="AK21" s="63">
        <f t="shared" si="3"/>
        <v>3.5185185185185187E-2</v>
      </c>
      <c r="AL21" s="59"/>
      <c r="AM21"/>
      <c r="AN21" s="3"/>
      <c r="AV21"/>
      <c r="AZ21"/>
      <c r="BB21"/>
      <c r="BD21"/>
      <c r="BG21" s="37"/>
    </row>
    <row r="22" spans="1:59" x14ac:dyDescent="0.25">
      <c r="A22" s="6">
        <v>48</v>
      </c>
      <c r="B22" s="1" t="s">
        <v>15</v>
      </c>
      <c r="C22" s="81">
        <v>43068</v>
      </c>
      <c r="D22" s="81"/>
      <c r="E22" s="3">
        <v>8</v>
      </c>
      <c r="F22" s="41">
        <v>16.34</v>
      </c>
      <c r="G22" s="2"/>
      <c r="H22" s="14">
        <v>0.18333333333333335</v>
      </c>
      <c r="I22" s="159">
        <v>129</v>
      </c>
      <c r="J22" s="262">
        <v>152</v>
      </c>
      <c r="K22" s="258">
        <v>4.9918981481481474E-2</v>
      </c>
      <c r="N22" s="2"/>
      <c r="O22" s="14"/>
      <c r="P22" s="159"/>
      <c r="Q22" s="147"/>
      <c r="R22" s="26"/>
      <c r="S22" s="223"/>
      <c r="T22" s="26"/>
      <c r="W22" s="2"/>
      <c r="X22" s="14"/>
      <c r="Y22" s="159"/>
      <c r="Z22" s="147"/>
      <c r="AA22" s="233"/>
      <c r="AE22" s="159"/>
      <c r="AF22" s="147"/>
      <c r="AG22" s="263"/>
      <c r="AH22" s="13">
        <f t="shared" si="0"/>
        <v>16.34</v>
      </c>
      <c r="AI22" s="87">
        <f t="shared" si="1"/>
        <v>8</v>
      </c>
      <c r="AJ22" s="27">
        <f t="shared" si="2"/>
        <v>8.34</v>
      </c>
      <c r="AK22" s="63">
        <f t="shared" si="3"/>
        <v>4.9918981481481474E-2</v>
      </c>
      <c r="AL22" s="59"/>
      <c r="AM22"/>
      <c r="AN22" s="3"/>
      <c r="AV22"/>
      <c r="AZ22"/>
      <c r="BB22"/>
      <c r="BD22"/>
      <c r="BG22" s="37"/>
    </row>
    <row r="23" spans="1:59" x14ac:dyDescent="0.25">
      <c r="A23" s="6"/>
      <c r="B23" s="1" t="s">
        <v>26</v>
      </c>
      <c r="C23" s="81">
        <v>43069</v>
      </c>
      <c r="D23" s="81"/>
      <c r="E23" s="3">
        <v>10</v>
      </c>
      <c r="F23" s="41">
        <v>8.19</v>
      </c>
      <c r="G23" s="2">
        <v>0.20694444444444446</v>
      </c>
      <c r="H23" s="14">
        <v>0.1986111111111111</v>
      </c>
      <c r="I23" s="159">
        <v>143</v>
      </c>
      <c r="J23" s="262">
        <v>154</v>
      </c>
      <c r="K23" s="258">
        <v>2.7071759259259257E-2</v>
      </c>
      <c r="N23" s="2"/>
      <c r="O23" s="14"/>
      <c r="P23" s="159"/>
      <c r="Q23" s="147"/>
      <c r="R23" s="26"/>
      <c r="S23" s="223"/>
      <c r="T23" s="26"/>
      <c r="W23" s="2"/>
      <c r="X23" s="14"/>
      <c r="Y23" s="159"/>
      <c r="Z23" s="147"/>
      <c r="AA23" s="233"/>
      <c r="AE23" s="159"/>
      <c r="AF23" s="147"/>
      <c r="AG23" s="263"/>
      <c r="AH23" s="13">
        <f t="shared" si="0"/>
        <v>8.19</v>
      </c>
      <c r="AI23" s="87">
        <f t="shared" si="1"/>
        <v>10</v>
      </c>
      <c r="AJ23" s="27">
        <f t="shared" si="2"/>
        <v>-1.8100000000000005</v>
      </c>
      <c r="AK23" s="63">
        <f t="shared" si="3"/>
        <v>2.7071759259259257E-2</v>
      </c>
      <c r="AL23" s="59"/>
      <c r="AM23"/>
      <c r="AN23" s="3"/>
      <c r="AV23"/>
      <c r="AZ23"/>
      <c r="BB23"/>
      <c r="BD23"/>
      <c r="BG23" s="37"/>
    </row>
    <row r="24" spans="1:59" x14ac:dyDescent="0.25">
      <c r="A24" s="6"/>
      <c r="B24" s="1" t="s">
        <v>29</v>
      </c>
      <c r="C24" s="81">
        <v>43070</v>
      </c>
      <c r="D24" s="81"/>
      <c r="E24" s="3">
        <v>10</v>
      </c>
      <c r="F24" s="41">
        <v>34.32</v>
      </c>
      <c r="G24" s="2">
        <v>0.20694444444444446</v>
      </c>
      <c r="H24" s="14">
        <v>0.20347222222222219</v>
      </c>
      <c r="I24" s="159">
        <v>143</v>
      </c>
      <c r="J24" s="262">
        <v>159</v>
      </c>
      <c r="K24" s="258">
        <v>0.11631944444444443</v>
      </c>
      <c r="N24" s="2"/>
      <c r="O24" s="14"/>
      <c r="P24" s="159"/>
      <c r="Q24" s="147"/>
      <c r="R24" s="26"/>
      <c r="S24" s="223"/>
      <c r="T24" s="26"/>
      <c r="W24" s="2"/>
      <c r="X24" s="14"/>
      <c r="Y24" s="159"/>
      <c r="Z24" s="147"/>
      <c r="AA24" s="233"/>
      <c r="AE24" s="159"/>
      <c r="AF24" s="147"/>
      <c r="AG24" s="263"/>
      <c r="AH24" s="13">
        <f t="shared" si="0"/>
        <v>34.32</v>
      </c>
      <c r="AI24" s="87">
        <f t="shared" si="1"/>
        <v>10</v>
      </c>
      <c r="AJ24" s="27">
        <f t="shared" si="2"/>
        <v>24.32</v>
      </c>
      <c r="AK24" s="63">
        <f t="shared" si="3"/>
        <v>0.11631944444444443</v>
      </c>
      <c r="AL24" s="59"/>
      <c r="AM24"/>
      <c r="AN24" s="3"/>
      <c r="AV24"/>
      <c r="AZ24"/>
      <c r="BB24"/>
      <c r="BD24"/>
      <c r="BG24" s="37"/>
    </row>
    <row r="25" spans="1:59" x14ac:dyDescent="0.25">
      <c r="A25" s="56"/>
      <c r="B25" s="17" t="s">
        <v>27</v>
      </c>
      <c r="C25" s="85">
        <v>43072</v>
      </c>
      <c r="D25" s="85"/>
      <c r="E25" s="19">
        <v>22</v>
      </c>
      <c r="F25" s="42">
        <v>10.52</v>
      </c>
      <c r="G25" s="21">
        <v>0.20694444444444446</v>
      </c>
      <c r="H25" s="22">
        <v>0.19375000000000001</v>
      </c>
      <c r="I25" s="160">
        <v>157</v>
      </c>
      <c r="J25" s="156">
        <v>153</v>
      </c>
      <c r="K25" s="259">
        <v>3.3923611111111113E-2</v>
      </c>
      <c r="L25" s="18"/>
      <c r="M25" s="20"/>
      <c r="N25" s="18"/>
      <c r="O25" s="20"/>
      <c r="P25" s="160"/>
      <c r="Q25" s="156"/>
      <c r="R25" s="18"/>
      <c r="S25" s="224"/>
      <c r="T25" s="84"/>
      <c r="U25" s="31"/>
      <c r="V25" s="42"/>
      <c r="W25" s="18"/>
      <c r="X25" s="20"/>
      <c r="Y25" s="160"/>
      <c r="Z25" s="156"/>
      <c r="AA25" s="265"/>
      <c r="AB25" s="18"/>
      <c r="AC25" s="18"/>
      <c r="AD25" s="20"/>
      <c r="AE25" s="160"/>
      <c r="AF25" s="156"/>
      <c r="AG25" s="265"/>
      <c r="AH25" s="20">
        <f t="shared" si="0"/>
        <v>10.52</v>
      </c>
      <c r="AI25" s="88">
        <f t="shared" si="1"/>
        <v>22</v>
      </c>
      <c r="AJ25" s="34">
        <f t="shared" si="2"/>
        <v>-11.48</v>
      </c>
      <c r="AK25" s="58">
        <f t="shared" si="3"/>
        <v>3.3923611111111113E-2</v>
      </c>
      <c r="AL25" s="57">
        <f>SUM(AH20:AH25)</f>
        <v>90.24</v>
      </c>
      <c r="AM25" s="21">
        <f>SUM(AK20:AK25)</f>
        <v>0.299224537037037</v>
      </c>
      <c r="AN25" s="19"/>
      <c r="AO25" s="36"/>
      <c r="AP25" s="18"/>
      <c r="AQ25" s="36"/>
      <c r="AR25" s="18"/>
      <c r="AS25" s="36"/>
      <c r="AT25" s="18"/>
      <c r="AU25" s="36"/>
      <c r="AV25" s="18"/>
      <c r="AW25" s="36"/>
      <c r="AX25" s="18"/>
      <c r="AY25" s="36"/>
      <c r="AZ25" s="18"/>
      <c r="BA25" s="36"/>
      <c r="BB25" s="18"/>
      <c r="BC25" s="36"/>
      <c r="BD25" s="18"/>
      <c r="BE25" s="36"/>
      <c r="BF25" s="18"/>
      <c r="BG25" s="38"/>
    </row>
    <row r="26" spans="1:59" x14ac:dyDescent="0.25">
      <c r="B26" s="1" t="s">
        <v>24</v>
      </c>
      <c r="C26" s="81">
        <v>43074</v>
      </c>
      <c r="D26" s="81"/>
      <c r="E26" s="3">
        <v>10</v>
      </c>
      <c r="F26" s="41">
        <v>9.99</v>
      </c>
      <c r="G26" s="2"/>
      <c r="H26" s="14">
        <v>0.20138888888888887</v>
      </c>
      <c r="I26" s="159">
        <v>129</v>
      </c>
      <c r="J26" s="147">
        <v>156</v>
      </c>
      <c r="K26" s="258">
        <v>3.3530092592592591E-2</v>
      </c>
      <c r="N26" s="2"/>
      <c r="O26" s="14"/>
      <c r="P26" s="159"/>
      <c r="Q26" s="147"/>
      <c r="R26" s="26"/>
      <c r="S26" s="223"/>
      <c r="T26" s="26"/>
      <c r="W26" s="2"/>
      <c r="X26" s="14"/>
      <c r="Y26" s="159"/>
      <c r="Z26" s="147"/>
      <c r="AA26" s="233"/>
      <c r="AE26" s="159"/>
      <c r="AF26" s="147"/>
      <c r="AG26" s="263"/>
      <c r="AH26" s="13">
        <f t="shared" si="0"/>
        <v>9.99</v>
      </c>
      <c r="AI26" s="87">
        <f t="shared" si="1"/>
        <v>10</v>
      </c>
      <c r="AJ26" s="27">
        <f t="shared" si="2"/>
        <v>-9.9999999999997868E-3</v>
      </c>
      <c r="AK26" s="63">
        <f t="shared" si="3"/>
        <v>3.3530092592592591E-2</v>
      </c>
      <c r="AL26" s="59"/>
      <c r="AM26"/>
      <c r="AN26" s="3"/>
      <c r="AO26" s="9">
        <f>$AN$2-AN26</f>
        <v>79.3</v>
      </c>
      <c r="AQ26" s="9">
        <f>$AP$2-AP26</f>
        <v>94</v>
      </c>
      <c r="AS26" s="9">
        <f>$AR$2-AR26</f>
        <v>97</v>
      </c>
      <c r="AU26" s="9">
        <f>$AT$2-AT26</f>
        <v>99</v>
      </c>
      <c r="AV26"/>
      <c r="AW26" s="9">
        <f>$AV$2-AV26</f>
        <v>58</v>
      </c>
      <c r="AY26" s="9">
        <f>$AX$2-AX26</f>
        <v>58.5</v>
      </c>
      <c r="AZ26"/>
      <c r="BA26" s="9">
        <f>$AZ$2-AZ26</f>
        <v>41</v>
      </c>
      <c r="BB26"/>
      <c r="BC26" s="9">
        <f>$BB$2-BB26</f>
        <v>41</v>
      </c>
      <c r="BD26"/>
      <c r="BE26" s="9">
        <f>$BD$2-BD26</f>
        <v>29</v>
      </c>
      <c r="BG26" s="37">
        <f>$BF$2-BF26</f>
        <v>29</v>
      </c>
    </row>
    <row r="27" spans="1:59" x14ac:dyDescent="0.25">
      <c r="B27" s="1" t="s">
        <v>15</v>
      </c>
      <c r="C27" s="81">
        <v>43075</v>
      </c>
      <c r="D27" s="81"/>
      <c r="E27" s="3"/>
      <c r="G27" s="2"/>
      <c r="H27" s="14"/>
      <c r="I27" s="159"/>
      <c r="J27" s="147"/>
      <c r="K27" s="258"/>
      <c r="L27">
        <v>6</v>
      </c>
      <c r="M27" s="13">
        <v>6.57</v>
      </c>
      <c r="N27" s="2"/>
      <c r="O27" s="14">
        <v>0.20833333333333334</v>
      </c>
      <c r="P27" s="159">
        <v>143</v>
      </c>
      <c r="Q27" s="147"/>
      <c r="R27" s="26">
        <v>2.2800925925925929E-2</v>
      </c>
      <c r="S27" s="223">
        <v>2.4900000000000002</v>
      </c>
      <c r="T27" s="26">
        <v>1.1805555555555555E-2</v>
      </c>
      <c r="U27" s="30" t="s">
        <v>28</v>
      </c>
      <c r="V27" s="41">
        <v>6</v>
      </c>
      <c r="W27" s="2">
        <v>0.15208333333333332</v>
      </c>
      <c r="X27" s="14">
        <v>0.15069444444444444</v>
      </c>
      <c r="Y27" s="159">
        <v>185</v>
      </c>
      <c r="Z27" s="147"/>
      <c r="AA27" s="233">
        <v>1.5150462962962963E-2</v>
      </c>
      <c r="AE27" s="159"/>
      <c r="AF27" s="147"/>
      <c r="AG27" s="263"/>
      <c r="AH27" s="13">
        <f t="shared" si="0"/>
        <v>15.06</v>
      </c>
      <c r="AI27" s="87">
        <f t="shared" si="1"/>
        <v>14.49</v>
      </c>
      <c r="AJ27" s="27">
        <f t="shared" si="2"/>
        <v>0.57000000000000028</v>
      </c>
      <c r="AK27" s="63">
        <f t="shared" si="3"/>
        <v>4.9756944444444451E-2</v>
      </c>
      <c r="AL27" s="59"/>
      <c r="AM27"/>
      <c r="AN27" s="3"/>
      <c r="AV27"/>
      <c r="AZ27"/>
      <c r="BB27"/>
      <c r="BD27"/>
      <c r="BG27" s="37"/>
    </row>
    <row r="28" spans="1:59" x14ac:dyDescent="0.25">
      <c r="A28" s="6">
        <v>49</v>
      </c>
      <c r="B28" s="1" t="s">
        <v>26</v>
      </c>
      <c r="C28" s="81">
        <v>43076</v>
      </c>
      <c r="D28" s="81"/>
      <c r="E28" s="3">
        <v>10</v>
      </c>
      <c r="F28" s="41">
        <v>10.01</v>
      </c>
      <c r="G28" s="2"/>
      <c r="H28" s="14">
        <v>0.22708333333333333</v>
      </c>
      <c r="I28" s="159">
        <v>129</v>
      </c>
      <c r="J28" s="147">
        <v>153</v>
      </c>
      <c r="K28" s="258">
        <v>3.788194444444444E-2</v>
      </c>
      <c r="N28" s="2"/>
      <c r="O28" s="14"/>
      <c r="P28" s="159"/>
      <c r="Q28" s="147"/>
      <c r="R28" s="26"/>
      <c r="S28" s="223"/>
      <c r="T28" s="26"/>
      <c r="W28" s="2"/>
      <c r="X28" s="14"/>
      <c r="Y28" s="159"/>
      <c r="Z28" s="147"/>
      <c r="AA28" s="233"/>
      <c r="AE28" s="159"/>
      <c r="AF28" s="147"/>
      <c r="AG28" s="263"/>
      <c r="AH28" s="13">
        <f t="shared" si="0"/>
        <v>10.01</v>
      </c>
      <c r="AI28" s="87">
        <f t="shared" si="1"/>
        <v>10</v>
      </c>
      <c r="AJ28" s="27">
        <f t="shared" si="2"/>
        <v>9.9999999999997868E-3</v>
      </c>
      <c r="AK28" s="63">
        <f t="shared" si="3"/>
        <v>3.788194444444444E-2</v>
      </c>
      <c r="AL28" s="59"/>
      <c r="AM28"/>
      <c r="AN28" s="3"/>
      <c r="AV28"/>
      <c r="AZ28"/>
      <c r="BB28"/>
      <c r="BD28"/>
      <c r="BG28" s="37"/>
    </row>
    <row r="29" spans="1:59" x14ac:dyDescent="0.25">
      <c r="A29" s="6"/>
      <c r="B29" s="1" t="s">
        <v>29</v>
      </c>
      <c r="C29" s="81">
        <v>43077</v>
      </c>
      <c r="D29" s="81"/>
      <c r="E29" s="3">
        <v>12</v>
      </c>
      <c r="F29" s="41">
        <v>12.1</v>
      </c>
      <c r="G29" s="2">
        <v>0.20694444444444446</v>
      </c>
      <c r="H29" s="14">
        <v>0.18541666666666667</v>
      </c>
      <c r="I29" s="159">
        <v>143</v>
      </c>
      <c r="J29" s="147">
        <v>153</v>
      </c>
      <c r="K29" s="258">
        <v>3.7418981481481477E-2</v>
      </c>
      <c r="N29" s="2"/>
      <c r="O29" s="14"/>
      <c r="P29" s="159"/>
      <c r="Q29" s="147"/>
      <c r="R29" s="26"/>
      <c r="S29" s="223"/>
      <c r="T29" s="26"/>
      <c r="W29" s="2"/>
      <c r="X29" s="14"/>
      <c r="Y29" s="159"/>
      <c r="Z29" s="147"/>
      <c r="AA29" s="233"/>
      <c r="AE29" s="159"/>
      <c r="AF29" s="147"/>
      <c r="AG29" s="263"/>
      <c r="AH29" s="13">
        <f t="shared" si="0"/>
        <v>12.1</v>
      </c>
      <c r="AI29" s="87">
        <f t="shared" si="1"/>
        <v>12</v>
      </c>
      <c r="AJ29" s="27">
        <f t="shared" si="2"/>
        <v>9.9999999999999645E-2</v>
      </c>
      <c r="AK29" s="63">
        <f t="shared" si="3"/>
        <v>3.7418981481481477E-2</v>
      </c>
      <c r="AL29" s="59"/>
      <c r="AM29"/>
      <c r="AN29" s="3"/>
      <c r="AV29"/>
      <c r="AZ29"/>
      <c r="BB29"/>
      <c r="BD29"/>
      <c r="BG29" s="37"/>
    </row>
    <row r="30" spans="1:59" x14ac:dyDescent="0.25">
      <c r="A30" s="6"/>
      <c r="B30" s="1" t="s">
        <v>18</v>
      </c>
      <c r="C30" s="81">
        <v>43078</v>
      </c>
      <c r="D30" s="81"/>
      <c r="E30" s="3">
        <v>16</v>
      </c>
      <c r="F30" s="41">
        <v>16.59</v>
      </c>
      <c r="G30" s="2">
        <v>0.20694444444444446</v>
      </c>
      <c r="H30" s="14">
        <v>0.20069444444444443</v>
      </c>
      <c r="I30" s="159">
        <v>143</v>
      </c>
      <c r="J30" s="147">
        <v>159</v>
      </c>
      <c r="K30" s="258">
        <v>5.5474537037037037E-2</v>
      </c>
      <c r="N30" s="2"/>
      <c r="O30" s="14"/>
      <c r="P30" s="159"/>
      <c r="Q30" s="147"/>
      <c r="R30" s="26"/>
      <c r="S30" s="223"/>
      <c r="T30" s="26"/>
      <c r="W30" s="2"/>
      <c r="X30" s="14"/>
      <c r="Y30" s="159"/>
      <c r="Z30" s="147"/>
      <c r="AA30" s="233"/>
      <c r="AE30" s="159"/>
      <c r="AF30" s="147"/>
      <c r="AG30" s="263"/>
      <c r="AH30" s="13">
        <f t="shared" si="0"/>
        <v>16.59</v>
      </c>
      <c r="AI30" s="87">
        <f t="shared" si="1"/>
        <v>16</v>
      </c>
      <c r="AJ30" s="27">
        <f t="shared" si="2"/>
        <v>0.58999999999999986</v>
      </c>
      <c r="AK30" s="63">
        <f t="shared" si="3"/>
        <v>5.5474537037037037E-2</v>
      </c>
      <c r="AL30" s="59"/>
      <c r="AM30"/>
      <c r="AN30" s="3"/>
      <c r="AV30"/>
      <c r="AZ30"/>
      <c r="BB30"/>
      <c r="BD30"/>
      <c r="BG30" s="37"/>
    </row>
    <row r="31" spans="1:59" x14ac:dyDescent="0.25">
      <c r="A31" s="56"/>
      <c r="B31" s="17" t="s">
        <v>27</v>
      </c>
      <c r="C31" s="85">
        <v>43079</v>
      </c>
      <c r="D31" s="85"/>
      <c r="E31" s="19">
        <v>26</v>
      </c>
      <c r="F31" s="42">
        <v>26.24</v>
      </c>
      <c r="G31" s="21">
        <v>0.20694444444444446</v>
      </c>
      <c r="H31" s="22">
        <v>0.20347222222222219</v>
      </c>
      <c r="I31" s="160">
        <v>157</v>
      </c>
      <c r="J31" s="156">
        <v>151</v>
      </c>
      <c r="K31" s="259">
        <v>8.8888888888888892E-2</v>
      </c>
      <c r="L31" s="18"/>
      <c r="M31" s="20"/>
      <c r="N31" s="18"/>
      <c r="O31" s="20"/>
      <c r="P31" s="160"/>
      <c r="Q31" s="156"/>
      <c r="R31" s="18"/>
      <c r="S31" s="224"/>
      <c r="T31" s="84"/>
      <c r="U31" s="31"/>
      <c r="V31" s="42"/>
      <c r="W31" s="18"/>
      <c r="X31" s="20"/>
      <c r="Y31" s="160"/>
      <c r="Z31" s="156"/>
      <c r="AA31" s="265"/>
      <c r="AB31" s="18"/>
      <c r="AC31" s="18"/>
      <c r="AD31" s="20"/>
      <c r="AE31" s="160"/>
      <c r="AF31" s="156"/>
      <c r="AG31" s="265"/>
      <c r="AH31" s="20">
        <f t="shared" si="0"/>
        <v>26.24</v>
      </c>
      <c r="AI31" s="88">
        <f t="shared" si="1"/>
        <v>26</v>
      </c>
      <c r="AJ31" s="34">
        <f t="shared" si="2"/>
        <v>0.23999999999999844</v>
      </c>
      <c r="AK31" s="58">
        <f t="shared" si="3"/>
        <v>8.8888888888888892E-2</v>
      </c>
      <c r="AL31" s="57">
        <f>SUM(AH26:AH31)</f>
        <v>89.99</v>
      </c>
      <c r="AM31" s="21">
        <f>SUM(AK26:AK31)</f>
        <v>0.3029513888888889</v>
      </c>
      <c r="AN31" s="19"/>
      <c r="AO31" s="36"/>
      <c r="AP31" s="18"/>
      <c r="AQ31" s="36"/>
      <c r="AR31" s="18"/>
      <c r="AS31" s="36"/>
      <c r="AT31" s="18"/>
      <c r="AU31" s="36"/>
      <c r="AV31" s="18"/>
      <c r="AW31" s="36"/>
      <c r="AX31" s="18"/>
      <c r="AY31" s="36"/>
      <c r="AZ31" s="18"/>
      <c r="BA31" s="36"/>
      <c r="BB31" s="18"/>
      <c r="BC31" s="36"/>
      <c r="BD31" s="18"/>
      <c r="BE31" s="36"/>
      <c r="BF31" s="18"/>
      <c r="BG31" s="38"/>
    </row>
    <row r="32" spans="1:59" x14ac:dyDescent="0.25">
      <c r="A32" s="6"/>
      <c r="B32" s="1" t="s">
        <v>0</v>
      </c>
      <c r="C32" s="81">
        <v>43080</v>
      </c>
      <c r="D32" s="81"/>
      <c r="E32" s="3">
        <v>10</v>
      </c>
      <c r="F32" s="41">
        <v>10.26</v>
      </c>
      <c r="G32" s="2"/>
      <c r="H32" s="14">
        <v>0.19999999999999998</v>
      </c>
      <c r="I32" s="159">
        <v>129</v>
      </c>
      <c r="J32" s="147">
        <v>156</v>
      </c>
      <c r="K32" s="258">
        <v>3.425925925925926E-2</v>
      </c>
      <c r="N32" s="2"/>
      <c r="O32" s="14"/>
      <c r="P32" s="159"/>
      <c r="Q32" s="147"/>
      <c r="R32" s="26"/>
      <c r="S32" s="223"/>
      <c r="T32" s="26"/>
      <c r="W32" s="2"/>
      <c r="X32" s="14"/>
      <c r="Y32" s="159"/>
      <c r="Z32" s="147"/>
      <c r="AA32" s="233"/>
      <c r="AE32" s="159"/>
      <c r="AF32" s="147"/>
      <c r="AG32" s="263"/>
      <c r="AH32" s="13">
        <f t="shared" si="0"/>
        <v>10.26</v>
      </c>
      <c r="AI32" s="87">
        <f t="shared" si="1"/>
        <v>10</v>
      </c>
      <c r="AJ32" s="27">
        <f t="shared" si="2"/>
        <v>0.25999999999999979</v>
      </c>
      <c r="AK32" s="63">
        <f t="shared" si="3"/>
        <v>3.425925925925926E-2</v>
      </c>
      <c r="AL32" s="59"/>
      <c r="AM32"/>
      <c r="AN32" s="3"/>
      <c r="AO32" s="9">
        <f>$AN$2-AN32</f>
        <v>79.3</v>
      </c>
      <c r="AQ32" s="9">
        <f>$AP$2-AP32</f>
        <v>94</v>
      </c>
      <c r="AS32" s="9">
        <f>$AR$2-AR32</f>
        <v>97</v>
      </c>
      <c r="AU32" s="9">
        <f>$AT$2-AT32</f>
        <v>99</v>
      </c>
      <c r="AV32"/>
      <c r="AW32" s="9">
        <f>$AV$2-AV32</f>
        <v>58</v>
      </c>
      <c r="AY32" s="9">
        <f>$AX$2-AX32</f>
        <v>58.5</v>
      </c>
      <c r="AZ32"/>
      <c r="BA32" s="9">
        <f>$AZ$2-AZ32</f>
        <v>41</v>
      </c>
      <c r="BB32"/>
      <c r="BC32" s="9">
        <f>$BB$2-BB32</f>
        <v>41</v>
      </c>
      <c r="BD32"/>
      <c r="BE32" s="9">
        <f>$BD$2-BD32</f>
        <v>29</v>
      </c>
      <c r="BG32" s="37">
        <f>$BF$2-BF32</f>
        <v>29</v>
      </c>
    </row>
    <row r="33" spans="1:59" x14ac:dyDescent="0.25">
      <c r="A33" s="6"/>
      <c r="B33" s="1" t="s">
        <v>24</v>
      </c>
      <c r="C33" s="81">
        <v>43081</v>
      </c>
      <c r="D33" s="81"/>
      <c r="E33" s="3"/>
      <c r="G33" s="2"/>
      <c r="H33" s="14"/>
      <c r="I33" s="159"/>
      <c r="J33" s="147"/>
      <c r="K33" s="258"/>
      <c r="L33">
        <v>6</v>
      </c>
      <c r="M33" s="13">
        <v>6.18</v>
      </c>
      <c r="N33" s="2"/>
      <c r="O33" s="14">
        <v>0.1986111111111111</v>
      </c>
      <c r="P33" s="159">
        <v>143</v>
      </c>
      <c r="Q33" s="147"/>
      <c r="R33" s="26">
        <v>2.0601851851851854E-2</v>
      </c>
      <c r="S33" s="223">
        <v>1.72</v>
      </c>
      <c r="T33" s="26">
        <v>7.4074074074074068E-3</v>
      </c>
      <c r="U33" s="30" t="s">
        <v>44</v>
      </c>
      <c r="V33" s="41">
        <v>4</v>
      </c>
      <c r="W33" s="2">
        <v>0.15208333333333332</v>
      </c>
      <c r="X33" s="14">
        <v>0.14861111111111111</v>
      </c>
      <c r="Y33" s="159">
        <v>185</v>
      </c>
      <c r="Z33" s="147">
        <v>163</v>
      </c>
      <c r="AA33" s="233">
        <v>1.005787037037037E-2</v>
      </c>
      <c r="AD33" s="14"/>
      <c r="AE33" s="159"/>
      <c r="AF33" s="147"/>
      <c r="AG33" s="264"/>
      <c r="AH33" s="13">
        <f t="shared" si="0"/>
        <v>11.9</v>
      </c>
      <c r="AI33" s="87">
        <f t="shared" si="1"/>
        <v>11.72</v>
      </c>
      <c r="AJ33" s="27">
        <f t="shared" si="2"/>
        <v>0.17999999999999972</v>
      </c>
      <c r="AK33" s="63">
        <f t="shared" si="3"/>
        <v>3.8067129629629631E-2</v>
      </c>
      <c r="AL33" s="59"/>
      <c r="AM33"/>
      <c r="AN33" s="3"/>
      <c r="AV33"/>
      <c r="AZ33"/>
      <c r="BB33"/>
      <c r="BD33"/>
      <c r="BG33" s="37"/>
    </row>
    <row r="34" spans="1:59" x14ac:dyDescent="0.25">
      <c r="A34" s="6">
        <v>50</v>
      </c>
      <c r="B34" s="1" t="s">
        <v>26</v>
      </c>
      <c r="C34" s="81">
        <v>43083</v>
      </c>
      <c r="D34" s="81"/>
      <c r="E34" s="3">
        <v>10</v>
      </c>
      <c r="F34" s="41">
        <v>12.26</v>
      </c>
      <c r="G34" s="2"/>
      <c r="H34" s="14">
        <v>0.20486111111111113</v>
      </c>
      <c r="I34" s="159">
        <v>129</v>
      </c>
      <c r="J34" s="147">
        <v>144</v>
      </c>
      <c r="K34" s="258">
        <v>4.1851851851851855E-2</v>
      </c>
      <c r="N34" s="2"/>
      <c r="O34" s="14"/>
      <c r="P34" s="159"/>
      <c r="Q34" s="147"/>
      <c r="R34" s="26"/>
      <c r="S34" s="223"/>
      <c r="T34" s="26"/>
      <c r="W34" s="2"/>
      <c r="X34" s="14"/>
      <c r="Y34" s="159"/>
      <c r="Z34" s="147"/>
      <c r="AA34" s="233"/>
      <c r="AE34" s="159"/>
      <c r="AF34" s="147"/>
      <c r="AG34" s="263"/>
      <c r="AH34" s="13">
        <f t="shared" si="0"/>
        <v>12.26</v>
      </c>
      <c r="AI34" s="87">
        <f t="shared" si="1"/>
        <v>10</v>
      </c>
      <c r="AJ34" s="27">
        <f t="shared" si="2"/>
        <v>2.2599999999999998</v>
      </c>
      <c r="AK34" s="63">
        <f t="shared" si="3"/>
        <v>4.1851851851851855E-2</v>
      </c>
      <c r="AL34" s="59"/>
      <c r="AM34"/>
      <c r="AN34" s="3"/>
      <c r="AV34"/>
      <c r="AZ34"/>
      <c r="BB34"/>
      <c r="BD34"/>
      <c r="BG34" s="37"/>
    </row>
    <row r="35" spans="1:59" x14ac:dyDescent="0.25">
      <c r="A35" s="6"/>
      <c r="B35" s="1" t="s">
        <v>15</v>
      </c>
      <c r="C35" s="81">
        <v>43082</v>
      </c>
      <c r="D35" s="81"/>
      <c r="E35" s="3">
        <v>16</v>
      </c>
      <c r="F35" s="41">
        <v>16.010000000000002</v>
      </c>
      <c r="G35" s="2">
        <v>0.20694444444444446</v>
      </c>
      <c r="H35" s="14">
        <v>0.19583333333333333</v>
      </c>
      <c r="I35" s="159">
        <v>143</v>
      </c>
      <c r="J35" s="147">
        <v>149</v>
      </c>
      <c r="K35" s="258">
        <v>5.2175925925925924E-2</v>
      </c>
      <c r="N35" s="2"/>
      <c r="O35" s="14"/>
      <c r="P35" s="159"/>
      <c r="Q35" s="147"/>
      <c r="R35" s="26"/>
      <c r="S35" s="223"/>
      <c r="T35" s="26"/>
      <c r="W35" s="2"/>
      <c r="X35" s="14"/>
      <c r="Y35" s="159"/>
      <c r="Z35" s="147"/>
      <c r="AA35" s="233"/>
      <c r="AE35" s="159"/>
      <c r="AF35" s="147"/>
      <c r="AG35" s="263"/>
      <c r="AH35" s="13">
        <f t="shared" si="0"/>
        <v>16.010000000000002</v>
      </c>
      <c r="AI35" s="87">
        <f t="shared" si="1"/>
        <v>16</v>
      </c>
      <c r="AJ35" s="27">
        <f t="shared" si="2"/>
        <v>1.0000000000001563E-2</v>
      </c>
      <c r="AK35" s="63">
        <f t="shared" si="3"/>
        <v>5.2175925925925924E-2</v>
      </c>
      <c r="AL35" s="59"/>
      <c r="AM35"/>
      <c r="AN35" s="3"/>
      <c r="AV35"/>
      <c r="AZ35"/>
      <c r="BB35"/>
      <c r="BD35"/>
      <c r="BG35" s="37"/>
    </row>
    <row r="36" spans="1:59" x14ac:dyDescent="0.25">
      <c r="A36" s="6"/>
      <c r="B36" s="1" t="s">
        <v>29</v>
      </c>
      <c r="C36" s="81">
        <v>43084</v>
      </c>
      <c r="D36" s="81"/>
      <c r="E36" s="3"/>
      <c r="G36" s="2"/>
      <c r="H36" s="14"/>
      <c r="I36" s="159"/>
      <c r="J36" s="147"/>
      <c r="K36" s="258"/>
      <c r="L36">
        <v>6</v>
      </c>
      <c r="M36" s="13">
        <v>6.24</v>
      </c>
      <c r="N36" s="2"/>
      <c r="O36" s="14">
        <v>0.19513888888888889</v>
      </c>
      <c r="P36" s="159">
        <v>143</v>
      </c>
      <c r="Q36" s="147">
        <v>159</v>
      </c>
      <c r="R36" s="26">
        <v>2.0266203703703703E-2</v>
      </c>
      <c r="S36" s="223"/>
      <c r="T36" s="26"/>
      <c r="W36" s="2"/>
      <c r="X36" s="14"/>
      <c r="Y36" s="159"/>
      <c r="Z36" s="147"/>
      <c r="AA36" s="233"/>
      <c r="AB36">
        <v>7</v>
      </c>
      <c r="AC36" s="2">
        <v>0.16388888888888889</v>
      </c>
      <c r="AD36" s="14">
        <v>0.16180555555555556</v>
      </c>
      <c r="AE36" s="159">
        <v>170</v>
      </c>
      <c r="AF36" s="147">
        <v>168</v>
      </c>
      <c r="AG36" s="233">
        <v>1.8854166666666665E-2</v>
      </c>
      <c r="AH36" s="13">
        <f t="shared" si="0"/>
        <v>13.24</v>
      </c>
      <c r="AI36" s="87">
        <f t="shared" si="1"/>
        <v>13</v>
      </c>
      <c r="AJ36" s="27">
        <f t="shared" si="2"/>
        <v>0.24000000000000021</v>
      </c>
      <c r="AK36" s="63">
        <f t="shared" si="3"/>
        <v>3.9120370370370368E-2</v>
      </c>
      <c r="AL36" s="59"/>
      <c r="AM36"/>
      <c r="AN36" s="3"/>
      <c r="AV36"/>
      <c r="AZ36"/>
      <c r="BB36"/>
      <c r="BD36"/>
      <c r="BG36" s="37"/>
    </row>
    <row r="37" spans="1:59" x14ac:dyDescent="0.25">
      <c r="A37" s="56"/>
      <c r="B37" s="17" t="s">
        <v>18</v>
      </c>
      <c r="C37" s="85">
        <v>43085</v>
      </c>
      <c r="D37" s="85"/>
      <c r="E37" s="19">
        <v>28</v>
      </c>
      <c r="F37" s="42">
        <v>28.62</v>
      </c>
      <c r="G37" s="21">
        <v>0.20694444444444446</v>
      </c>
      <c r="H37" s="22">
        <v>0.19930555555555554</v>
      </c>
      <c r="I37" s="160">
        <v>157</v>
      </c>
      <c r="J37" s="156">
        <v>147</v>
      </c>
      <c r="K37" s="259">
        <v>9.5185185185185192E-2</v>
      </c>
      <c r="L37" s="18"/>
      <c r="M37" s="20"/>
      <c r="N37" s="18"/>
      <c r="O37" s="20"/>
      <c r="P37" s="160"/>
      <c r="Q37" s="156"/>
      <c r="R37" s="18"/>
      <c r="S37" s="224"/>
      <c r="T37" s="84"/>
      <c r="U37" s="31"/>
      <c r="V37" s="42"/>
      <c r="W37" s="18"/>
      <c r="X37" s="20"/>
      <c r="Y37" s="160"/>
      <c r="Z37" s="156"/>
      <c r="AA37" s="265"/>
      <c r="AB37" s="18"/>
      <c r="AC37" s="18"/>
      <c r="AD37" s="20"/>
      <c r="AE37" s="160"/>
      <c r="AF37" s="156"/>
      <c r="AG37" s="265"/>
      <c r="AH37" s="20">
        <f t="shared" si="0"/>
        <v>28.62</v>
      </c>
      <c r="AI37" s="88">
        <f t="shared" si="1"/>
        <v>28</v>
      </c>
      <c r="AJ37" s="34">
        <f t="shared" si="2"/>
        <v>0.62000000000000099</v>
      </c>
      <c r="AK37" s="58">
        <f t="shared" si="3"/>
        <v>9.5185185185185192E-2</v>
      </c>
      <c r="AL37" s="57">
        <f>SUM(AH32:AH37)</f>
        <v>92.29</v>
      </c>
      <c r="AM37" s="21">
        <f>SUM(AK14:AK37)</f>
        <v>1.1951736111111113</v>
      </c>
      <c r="AN37" s="19"/>
      <c r="AO37" s="36"/>
      <c r="AP37" s="18"/>
      <c r="AQ37" s="36"/>
      <c r="AR37" s="18"/>
      <c r="AS37" s="36"/>
      <c r="AT37" s="18"/>
      <c r="AU37" s="36"/>
      <c r="AV37" s="18"/>
      <c r="AW37" s="36"/>
      <c r="AX37" s="18"/>
      <c r="AY37" s="36"/>
      <c r="AZ37" s="18"/>
      <c r="BA37" s="36"/>
      <c r="BB37" s="18"/>
      <c r="BC37" s="36"/>
      <c r="BD37" s="18"/>
      <c r="BE37" s="36"/>
      <c r="BF37" s="18"/>
      <c r="BG37" s="38"/>
    </row>
    <row r="38" spans="1:59" x14ac:dyDescent="0.25">
      <c r="A38" s="10"/>
      <c r="B38" s="1" t="s">
        <v>24</v>
      </c>
      <c r="C38" s="81">
        <v>43088</v>
      </c>
      <c r="D38" s="81" t="s">
        <v>425</v>
      </c>
      <c r="E38" s="3">
        <v>10</v>
      </c>
      <c r="F38" s="54">
        <v>42.21</v>
      </c>
      <c r="G38" s="2"/>
      <c r="H38" s="52">
        <v>0.20277777777777781</v>
      </c>
      <c r="I38" s="159">
        <v>129</v>
      </c>
      <c r="J38" s="157">
        <v>149</v>
      </c>
      <c r="K38" s="258">
        <v>0.14259259259259258</v>
      </c>
      <c r="L38" s="11"/>
      <c r="M38" s="50"/>
      <c r="N38" s="51"/>
      <c r="O38" s="52"/>
      <c r="P38" s="161"/>
      <c r="Q38" s="157"/>
      <c r="R38" s="26"/>
      <c r="S38" s="223"/>
      <c r="T38" s="26"/>
      <c r="U38" s="53"/>
      <c r="V38" s="54"/>
      <c r="W38" s="51"/>
      <c r="X38" s="52"/>
      <c r="Y38" s="161"/>
      <c r="Z38" s="157"/>
      <c r="AA38" s="233"/>
      <c r="AB38" s="11"/>
      <c r="AC38" s="11"/>
      <c r="AD38" s="50"/>
      <c r="AE38" s="161"/>
      <c r="AF38" s="157"/>
      <c r="AG38" s="263"/>
      <c r="AH38" s="13">
        <f t="shared" si="0"/>
        <v>42.21</v>
      </c>
      <c r="AI38" s="87">
        <f t="shared" si="1"/>
        <v>10</v>
      </c>
      <c r="AJ38" s="27">
        <f t="shared" si="2"/>
        <v>32.21</v>
      </c>
      <c r="AK38" s="63">
        <f t="shared" si="3"/>
        <v>0.14259259259259258</v>
      </c>
      <c r="AL38" s="59"/>
      <c r="AM38" s="51"/>
      <c r="AN38" s="3"/>
      <c r="AO38" s="9">
        <f>$AN$2-AN38</f>
        <v>79.3</v>
      </c>
      <c r="AQ38" s="9">
        <f>$AP$2-AP38</f>
        <v>94</v>
      </c>
      <c r="AS38" s="9">
        <f>$AR$2-AR38</f>
        <v>97</v>
      </c>
      <c r="AU38" s="9">
        <f>$AT$2-AT38</f>
        <v>99</v>
      </c>
      <c r="AV38"/>
      <c r="AW38" s="9">
        <f>$AV$2-AV38</f>
        <v>58</v>
      </c>
      <c r="AY38" s="9">
        <f>$AX$2-AX38</f>
        <v>58.5</v>
      </c>
      <c r="AZ38"/>
      <c r="BA38" s="9">
        <f>$AZ$2-AZ38</f>
        <v>41</v>
      </c>
      <c r="BB38"/>
      <c r="BC38" s="9">
        <f>$BB$2-BB38</f>
        <v>41</v>
      </c>
      <c r="BD38"/>
      <c r="BE38" s="9">
        <f>$BD$2-BD38</f>
        <v>29</v>
      </c>
      <c r="BG38" s="37">
        <f>$BF$2-BF38</f>
        <v>29</v>
      </c>
    </row>
    <row r="39" spans="1:59" x14ac:dyDescent="0.25">
      <c r="A39" s="10"/>
      <c r="B39" s="1" t="s">
        <v>0</v>
      </c>
      <c r="C39" s="81">
        <v>43087</v>
      </c>
      <c r="D39" s="81"/>
      <c r="E39" s="3"/>
      <c r="F39" s="54"/>
      <c r="G39" s="2"/>
      <c r="H39" s="52"/>
      <c r="I39" s="161"/>
      <c r="J39" s="157"/>
      <c r="K39" s="258"/>
      <c r="L39" s="11">
        <v>6</v>
      </c>
      <c r="M39" s="50">
        <v>6.01</v>
      </c>
      <c r="N39" s="11"/>
      <c r="O39" s="52">
        <v>0.19930555555555554</v>
      </c>
      <c r="P39" s="161">
        <v>143</v>
      </c>
      <c r="Q39" s="157">
        <v>149</v>
      </c>
      <c r="R39" s="26">
        <v>1.9918981481481482E-2</v>
      </c>
      <c r="S39" s="223">
        <v>3.07</v>
      </c>
      <c r="T39" s="26">
        <v>1.3773148148148147E-2</v>
      </c>
      <c r="U39" s="53" t="s">
        <v>203</v>
      </c>
      <c r="V39" s="54">
        <v>7</v>
      </c>
      <c r="W39" s="2">
        <v>0.15208333333333332</v>
      </c>
      <c r="X39" s="14">
        <v>0.15138888888888888</v>
      </c>
      <c r="Y39" s="159">
        <v>185</v>
      </c>
      <c r="Z39" s="157">
        <v>167</v>
      </c>
      <c r="AA39" s="233">
        <v>1.7685185185185182E-2</v>
      </c>
      <c r="AB39" s="11"/>
      <c r="AC39" s="11"/>
      <c r="AD39" s="50"/>
      <c r="AE39" s="161"/>
      <c r="AF39" s="157"/>
      <c r="AG39" s="263"/>
      <c r="AH39" s="13">
        <f t="shared" si="0"/>
        <v>16.079999999999998</v>
      </c>
      <c r="AI39" s="87">
        <f t="shared" si="1"/>
        <v>16.07</v>
      </c>
      <c r="AJ39" s="27">
        <f t="shared" si="2"/>
        <v>9.9999999999980105E-3</v>
      </c>
      <c r="AK39" s="63">
        <f t="shared" si="3"/>
        <v>5.1377314814814806E-2</v>
      </c>
      <c r="AL39" s="59"/>
      <c r="AM39" s="51"/>
      <c r="AN39" s="3"/>
      <c r="AV39"/>
      <c r="AZ39"/>
      <c r="BB39"/>
      <c r="BD39"/>
      <c r="BG39" s="37"/>
    </row>
    <row r="40" spans="1:59" x14ac:dyDescent="0.25">
      <c r="A40" s="10">
        <v>51</v>
      </c>
      <c r="B40" s="1" t="s">
        <v>15</v>
      </c>
      <c r="C40" s="81">
        <v>43089</v>
      </c>
      <c r="D40" s="81"/>
      <c r="E40" s="3">
        <v>10</v>
      </c>
      <c r="F40" s="54">
        <v>10.26</v>
      </c>
      <c r="G40" s="51"/>
      <c r="H40" s="52">
        <v>0.21319444444444444</v>
      </c>
      <c r="I40" s="159">
        <v>129</v>
      </c>
      <c r="J40" s="157">
        <v>141</v>
      </c>
      <c r="K40" s="258">
        <v>3.6458333333333336E-2</v>
      </c>
      <c r="L40" s="11"/>
      <c r="M40" s="50"/>
      <c r="N40" s="2"/>
      <c r="O40" s="52"/>
      <c r="P40" s="161"/>
      <c r="Q40" s="157"/>
      <c r="R40" s="26"/>
      <c r="S40" s="223"/>
      <c r="T40" s="26"/>
      <c r="U40" s="53"/>
      <c r="V40" s="54"/>
      <c r="W40" s="11"/>
      <c r="X40" s="50"/>
      <c r="Y40" s="161"/>
      <c r="Z40" s="157"/>
      <c r="AA40" s="263"/>
      <c r="AB40" s="11"/>
      <c r="AC40" s="11"/>
      <c r="AD40" s="52"/>
      <c r="AE40" s="161"/>
      <c r="AF40" s="157"/>
      <c r="AG40" s="233"/>
      <c r="AH40" s="13">
        <f t="shared" si="0"/>
        <v>10.26</v>
      </c>
      <c r="AI40" s="87">
        <f t="shared" si="1"/>
        <v>10</v>
      </c>
      <c r="AJ40" s="27">
        <f t="shared" si="2"/>
        <v>0.25999999999999979</v>
      </c>
      <c r="AK40" s="63">
        <f t="shared" si="3"/>
        <v>3.6458333333333336E-2</v>
      </c>
      <c r="AL40" s="59"/>
      <c r="AM40" s="51"/>
      <c r="AN40" s="3"/>
      <c r="AO40" s="55"/>
      <c r="AP40" s="11"/>
      <c r="AQ40" s="55"/>
      <c r="AR40" s="11"/>
      <c r="AS40" s="55"/>
      <c r="AT40" s="11"/>
      <c r="AU40" s="55"/>
      <c r="AV40" s="11"/>
      <c r="AW40" s="55"/>
      <c r="AX40" s="11"/>
      <c r="AY40" s="55"/>
      <c r="AZ40" s="11"/>
      <c r="BA40" s="55"/>
      <c r="BB40" s="11"/>
      <c r="BC40" s="55"/>
      <c r="BD40" s="11"/>
      <c r="BE40" s="55"/>
      <c r="BF40" s="11"/>
      <c r="BG40" s="37"/>
    </row>
    <row r="41" spans="1:59" x14ac:dyDescent="0.25">
      <c r="A41" s="10"/>
      <c r="B41" s="1" t="s">
        <v>26</v>
      </c>
      <c r="C41" s="81">
        <v>43090</v>
      </c>
      <c r="D41" s="81"/>
      <c r="E41" s="3">
        <v>10</v>
      </c>
      <c r="F41" s="54">
        <v>10.65</v>
      </c>
      <c r="G41" s="2">
        <v>0.20694444444444446</v>
      </c>
      <c r="H41" s="52">
        <v>0.20625000000000002</v>
      </c>
      <c r="I41" s="161">
        <v>143</v>
      </c>
      <c r="J41" s="157">
        <v>142</v>
      </c>
      <c r="K41" s="258">
        <v>3.6562499999999998E-2</v>
      </c>
      <c r="L41" s="11"/>
      <c r="M41" s="50"/>
      <c r="N41" s="2"/>
      <c r="O41" s="52"/>
      <c r="P41" s="161"/>
      <c r="Q41" s="157"/>
      <c r="R41" s="26"/>
      <c r="S41" s="223"/>
      <c r="T41" s="26"/>
      <c r="U41" s="53"/>
      <c r="V41" s="54"/>
      <c r="W41" s="11"/>
      <c r="X41" s="50"/>
      <c r="Y41" s="161"/>
      <c r="Z41" s="157"/>
      <c r="AA41" s="263"/>
      <c r="AB41" s="11"/>
      <c r="AC41" s="11"/>
      <c r="AD41" s="52"/>
      <c r="AE41" s="161"/>
      <c r="AF41" s="157"/>
      <c r="AG41" s="233"/>
      <c r="AH41" s="13">
        <f t="shared" si="0"/>
        <v>10.65</v>
      </c>
      <c r="AI41" s="87">
        <f t="shared" si="1"/>
        <v>10</v>
      </c>
      <c r="AJ41" s="27">
        <f t="shared" si="2"/>
        <v>0.65000000000000036</v>
      </c>
      <c r="AK41" s="63">
        <f t="shared" si="3"/>
        <v>3.6562499999999998E-2</v>
      </c>
      <c r="AL41" s="59"/>
      <c r="AM41" s="51"/>
      <c r="AN41" s="3"/>
      <c r="AO41" s="55"/>
      <c r="AP41" s="11"/>
      <c r="AQ41" s="55"/>
      <c r="AR41" s="11"/>
      <c r="AS41" s="55"/>
      <c r="AT41" s="11"/>
      <c r="AU41" s="55"/>
      <c r="AV41" s="11"/>
      <c r="AW41" s="55"/>
      <c r="AX41" s="11"/>
      <c r="AY41" s="55"/>
      <c r="AZ41" s="11"/>
      <c r="BA41" s="55"/>
      <c r="BB41" s="11"/>
      <c r="BC41" s="55"/>
      <c r="BD41" s="11"/>
      <c r="BE41" s="55"/>
      <c r="BF41" s="11"/>
      <c r="BG41" s="37"/>
    </row>
    <row r="42" spans="1:59" x14ac:dyDescent="0.25">
      <c r="A42" s="10"/>
      <c r="B42" s="1" t="s">
        <v>29</v>
      </c>
      <c r="C42" s="81">
        <v>43091</v>
      </c>
      <c r="D42" s="81"/>
      <c r="E42" s="3">
        <v>18</v>
      </c>
      <c r="F42" s="54">
        <v>18.2</v>
      </c>
      <c r="G42" s="2">
        <v>0.20694444444444446</v>
      </c>
      <c r="H42" s="52">
        <v>0.20069444444444443</v>
      </c>
      <c r="I42" s="161">
        <v>143</v>
      </c>
      <c r="J42" s="157">
        <v>147</v>
      </c>
      <c r="K42" s="258">
        <v>6.083333333333333E-2</v>
      </c>
      <c r="L42" s="11"/>
      <c r="M42" s="50"/>
      <c r="N42" s="2"/>
      <c r="O42" s="52"/>
      <c r="P42" s="161"/>
      <c r="Q42" s="157"/>
      <c r="R42" s="26"/>
      <c r="S42" s="223"/>
      <c r="T42" s="26"/>
      <c r="U42" s="53"/>
      <c r="V42" s="54"/>
      <c r="W42" s="11"/>
      <c r="X42" s="50"/>
      <c r="Y42" s="161"/>
      <c r="Z42" s="157"/>
      <c r="AA42" s="263"/>
      <c r="AB42" s="11"/>
      <c r="AC42" s="11"/>
      <c r="AD42" s="52"/>
      <c r="AE42" s="161"/>
      <c r="AF42" s="157"/>
      <c r="AG42" s="233"/>
      <c r="AH42" s="13">
        <f t="shared" si="0"/>
        <v>18.2</v>
      </c>
      <c r="AI42" s="87">
        <f t="shared" si="1"/>
        <v>18</v>
      </c>
      <c r="AJ42" s="27">
        <f t="shared" si="2"/>
        <v>0.19999999999999929</v>
      </c>
      <c r="AK42" s="63">
        <f t="shared" si="3"/>
        <v>6.083333333333333E-2</v>
      </c>
      <c r="AL42" s="59"/>
      <c r="AM42" s="51"/>
      <c r="AN42" s="3"/>
      <c r="AO42" s="55"/>
      <c r="AP42" s="11"/>
      <c r="AQ42" s="55"/>
      <c r="AR42" s="11"/>
      <c r="AS42" s="55"/>
      <c r="AT42" s="11"/>
      <c r="AU42" s="55"/>
      <c r="AV42" s="11"/>
      <c r="AW42" s="55"/>
      <c r="AX42" s="11"/>
      <c r="AY42" s="55"/>
      <c r="AZ42" s="11"/>
      <c r="BA42" s="55"/>
      <c r="BB42" s="11"/>
      <c r="BC42" s="55"/>
      <c r="BD42" s="11"/>
      <c r="BE42" s="55"/>
      <c r="BF42" s="11"/>
      <c r="BG42" s="37"/>
    </row>
    <row r="43" spans="1:59" x14ac:dyDescent="0.25">
      <c r="A43" s="56"/>
      <c r="B43" s="17" t="s">
        <v>18</v>
      </c>
      <c r="C43" s="85">
        <v>43092</v>
      </c>
      <c r="D43" s="85" t="s">
        <v>416</v>
      </c>
      <c r="E43" s="19">
        <v>28</v>
      </c>
      <c r="F43" s="42">
        <v>40.94</v>
      </c>
      <c r="G43" s="21">
        <v>0.20694444444444446</v>
      </c>
      <c r="H43" s="22">
        <v>0.19999999999999998</v>
      </c>
      <c r="I43" s="160">
        <v>157</v>
      </c>
      <c r="J43" s="156">
        <v>154</v>
      </c>
      <c r="K43" s="259">
        <v>0.13631944444444444</v>
      </c>
      <c r="L43" s="18"/>
      <c r="M43" s="20"/>
      <c r="N43" s="18"/>
      <c r="O43" s="20"/>
      <c r="P43" s="160"/>
      <c r="Q43" s="156"/>
      <c r="R43" s="18"/>
      <c r="S43" s="224"/>
      <c r="T43" s="84"/>
      <c r="U43" s="31"/>
      <c r="V43" s="42"/>
      <c r="W43" s="18"/>
      <c r="X43" s="20"/>
      <c r="Y43" s="160"/>
      <c r="Z43" s="156"/>
      <c r="AA43" s="265"/>
      <c r="AB43" s="18"/>
      <c r="AC43" s="18"/>
      <c r="AD43" s="20"/>
      <c r="AE43" s="160"/>
      <c r="AF43" s="156"/>
      <c r="AG43" s="265"/>
      <c r="AH43" s="20">
        <f t="shared" si="0"/>
        <v>40.94</v>
      </c>
      <c r="AI43" s="88">
        <f t="shared" si="1"/>
        <v>28</v>
      </c>
      <c r="AJ43" s="34">
        <f t="shared" si="2"/>
        <v>12.939999999999998</v>
      </c>
      <c r="AK43" s="58">
        <f t="shared" si="3"/>
        <v>0.13631944444444444</v>
      </c>
      <c r="AL43" s="57">
        <f>SUM(AH38:AH43)</f>
        <v>138.34</v>
      </c>
      <c r="AM43" s="21">
        <f>SUM(AK38:AK43)</f>
        <v>0.46414351851851848</v>
      </c>
      <c r="AN43" s="19"/>
      <c r="AO43" s="36"/>
      <c r="AP43" s="18"/>
      <c r="AQ43" s="36"/>
      <c r="AR43" s="18"/>
      <c r="AS43" s="36"/>
      <c r="AT43" s="18"/>
      <c r="AU43" s="36"/>
      <c r="AV43" s="18"/>
      <c r="AW43" s="36"/>
      <c r="AX43" s="18"/>
      <c r="AY43" s="36"/>
      <c r="AZ43" s="18"/>
      <c r="BA43" s="36"/>
      <c r="BB43" s="18"/>
      <c r="BC43" s="36"/>
      <c r="BD43" s="18"/>
      <c r="BE43" s="36"/>
      <c r="BF43" s="18"/>
      <c r="BG43" s="38"/>
    </row>
    <row r="44" spans="1:59" x14ac:dyDescent="0.25">
      <c r="A44" s="10"/>
      <c r="B44" s="1" t="s">
        <v>0</v>
      </c>
      <c r="C44" s="81">
        <v>43094</v>
      </c>
      <c r="D44" s="81"/>
      <c r="E44" s="3">
        <v>10</v>
      </c>
      <c r="F44" s="54">
        <v>10.33</v>
      </c>
      <c r="G44" s="2"/>
      <c r="H44" s="52">
        <v>0.24930555555555556</v>
      </c>
      <c r="I44" s="159">
        <v>129</v>
      </c>
      <c r="J44" s="175">
        <v>130</v>
      </c>
      <c r="K44" s="258">
        <v>4.296296296296296E-2</v>
      </c>
      <c r="L44" s="11"/>
      <c r="M44" s="50"/>
      <c r="N44" s="51"/>
      <c r="O44" s="52"/>
      <c r="P44" s="161"/>
      <c r="Q44" s="157"/>
      <c r="R44" s="26"/>
      <c r="S44" s="223"/>
      <c r="T44" s="26"/>
      <c r="U44" s="53"/>
      <c r="V44" s="54"/>
      <c r="W44" s="51"/>
      <c r="X44" s="52"/>
      <c r="Y44" s="161"/>
      <c r="Z44" s="157"/>
      <c r="AA44" s="233"/>
      <c r="AB44" s="11"/>
      <c r="AC44" s="11"/>
      <c r="AD44" s="50"/>
      <c r="AE44" s="161"/>
      <c r="AF44" s="157"/>
      <c r="AG44" s="263"/>
      <c r="AH44" s="13">
        <f t="shared" si="0"/>
        <v>10.33</v>
      </c>
      <c r="AI44" s="87">
        <f t="shared" si="1"/>
        <v>10</v>
      </c>
      <c r="AJ44" s="27">
        <f t="shared" si="2"/>
        <v>0.33000000000000007</v>
      </c>
      <c r="AK44" s="63">
        <f t="shared" si="3"/>
        <v>4.296296296296296E-2</v>
      </c>
      <c r="AL44" s="59"/>
      <c r="AM44" s="51"/>
      <c r="AN44" s="3"/>
      <c r="AO44" s="9">
        <f>$AN$2-AN44</f>
        <v>79.3</v>
      </c>
      <c r="AQ44" s="9">
        <f>$AP$2-AP44</f>
        <v>94</v>
      </c>
      <c r="AS44" s="9">
        <f>$AR$2-AR44</f>
        <v>97</v>
      </c>
      <c r="AU44" s="9">
        <f>$AT$2-AT44</f>
        <v>99</v>
      </c>
      <c r="AV44"/>
      <c r="AW44" s="9">
        <f>$AV$2-AV44</f>
        <v>58</v>
      </c>
      <c r="AY44" s="9">
        <f>$AX$2-AX44</f>
        <v>58.5</v>
      </c>
      <c r="AZ44"/>
      <c r="BA44" s="9">
        <f>$AZ$2-AZ44</f>
        <v>41</v>
      </c>
      <c r="BB44"/>
      <c r="BC44" s="9">
        <f>$BB$2-BB44</f>
        <v>41</v>
      </c>
      <c r="BD44"/>
      <c r="BE44" s="9">
        <f>$BD$2-BD44</f>
        <v>29</v>
      </c>
      <c r="BG44" s="37">
        <f>$BF$2-BF44</f>
        <v>29</v>
      </c>
    </row>
    <row r="45" spans="1:59" x14ac:dyDescent="0.25">
      <c r="A45" s="10"/>
      <c r="B45" s="1" t="s">
        <v>24</v>
      </c>
      <c r="C45" s="81">
        <v>43095</v>
      </c>
      <c r="D45" s="81"/>
      <c r="E45" s="3">
        <v>10</v>
      </c>
      <c r="F45" s="54">
        <v>10.130000000000001</v>
      </c>
      <c r="G45" s="2">
        <v>0.20694444444444446</v>
      </c>
      <c r="H45" s="52">
        <v>0.20625000000000002</v>
      </c>
      <c r="I45" s="161">
        <v>143</v>
      </c>
      <c r="J45" s="157">
        <v>151</v>
      </c>
      <c r="K45" s="258">
        <v>3.4803240740740739E-2</v>
      </c>
      <c r="L45" s="11"/>
      <c r="M45" s="50"/>
      <c r="N45" s="11"/>
      <c r="O45" s="52"/>
      <c r="P45" s="161"/>
      <c r="Q45" s="157"/>
      <c r="R45" s="26"/>
      <c r="S45" s="223"/>
      <c r="T45" s="26"/>
      <c r="U45" s="53"/>
      <c r="V45" s="54"/>
      <c r="W45" s="11"/>
      <c r="X45" s="50"/>
      <c r="Y45" s="161"/>
      <c r="Z45" s="157"/>
      <c r="AA45" s="263"/>
      <c r="AB45" s="11"/>
      <c r="AC45" s="51"/>
      <c r="AD45" s="52"/>
      <c r="AE45" s="161"/>
      <c r="AF45" s="157"/>
      <c r="AG45" s="233"/>
      <c r="AH45" s="13">
        <f t="shared" si="0"/>
        <v>10.130000000000001</v>
      </c>
      <c r="AI45" s="87">
        <f t="shared" si="1"/>
        <v>10</v>
      </c>
      <c r="AJ45" s="27">
        <f t="shared" si="2"/>
        <v>0.13000000000000078</v>
      </c>
      <c r="AK45" s="63">
        <f t="shared" si="3"/>
        <v>3.4803240740740739E-2</v>
      </c>
      <c r="AL45" s="59"/>
      <c r="AM45" s="51"/>
      <c r="AN45" s="3"/>
      <c r="AV45"/>
      <c r="AZ45"/>
      <c r="BB45"/>
      <c r="BD45"/>
      <c r="BG45" s="37"/>
    </row>
    <row r="46" spans="1:59" x14ac:dyDescent="0.25">
      <c r="A46" s="10">
        <v>52</v>
      </c>
      <c r="B46" s="1" t="s">
        <v>15</v>
      </c>
      <c r="C46" s="81">
        <v>43096</v>
      </c>
      <c r="D46" s="81"/>
      <c r="E46" s="3"/>
      <c r="F46" s="54"/>
      <c r="G46" s="51"/>
      <c r="H46" s="52"/>
      <c r="I46" s="161"/>
      <c r="J46" s="157"/>
      <c r="K46" s="258"/>
      <c r="L46" s="11">
        <v>6</v>
      </c>
      <c r="M46" s="50">
        <v>6.1</v>
      </c>
      <c r="N46" s="2"/>
      <c r="O46" s="52">
        <v>0.21249999999999999</v>
      </c>
      <c r="P46" s="161">
        <v>143</v>
      </c>
      <c r="Q46" s="157">
        <v>145</v>
      </c>
      <c r="R46" s="26">
        <v>2.1608796296296296E-2</v>
      </c>
      <c r="S46" s="223"/>
      <c r="T46" s="26"/>
      <c r="U46" s="53"/>
      <c r="V46" s="54"/>
      <c r="W46" s="11"/>
      <c r="X46" s="50"/>
      <c r="Y46" s="161"/>
      <c r="Z46" s="157"/>
      <c r="AA46" s="263"/>
      <c r="AB46" s="11">
        <v>5</v>
      </c>
      <c r="AC46" s="11"/>
      <c r="AD46" s="52">
        <v>0.15833333333333333</v>
      </c>
      <c r="AE46" s="161">
        <v>184</v>
      </c>
      <c r="AF46" s="157">
        <v>181</v>
      </c>
      <c r="AG46" s="233">
        <v>1.3206018518518518E-2</v>
      </c>
      <c r="AH46" s="13">
        <f t="shared" si="0"/>
        <v>11.1</v>
      </c>
      <c r="AI46" s="87">
        <f t="shared" si="1"/>
        <v>11</v>
      </c>
      <c r="AJ46" s="27">
        <f t="shared" si="2"/>
        <v>9.9999999999999645E-2</v>
      </c>
      <c r="AK46" s="63">
        <f t="shared" si="3"/>
        <v>3.4814814814814812E-2</v>
      </c>
      <c r="AL46" s="59"/>
      <c r="AM46" s="51"/>
      <c r="AN46" s="3"/>
      <c r="AO46" s="55"/>
      <c r="AP46" s="11"/>
      <c r="AQ46" s="55"/>
      <c r="AR46" s="11"/>
      <c r="AS46" s="55"/>
      <c r="AT46" s="11"/>
      <c r="AU46" s="55"/>
      <c r="AV46" s="11"/>
      <c r="AW46" s="55"/>
      <c r="AX46" s="11"/>
      <c r="AY46" s="55"/>
      <c r="AZ46" s="11"/>
      <c r="BA46" s="55"/>
      <c r="BB46" s="11"/>
      <c r="BC46" s="55"/>
      <c r="BD46" s="11"/>
      <c r="BE46" s="55"/>
      <c r="BF46" s="11"/>
      <c r="BG46" s="37"/>
    </row>
    <row r="47" spans="1:59" x14ac:dyDescent="0.25">
      <c r="A47" s="10"/>
      <c r="B47" s="1" t="s">
        <v>26</v>
      </c>
      <c r="C47" s="81">
        <v>43097</v>
      </c>
      <c r="D47" s="81" t="s">
        <v>426</v>
      </c>
      <c r="E47" s="3">
        <v>10</v>
      </c>
      <c r="F47" s="54">
        <v>14.07</v>
      </c>
      <c r="G47" s="2">
        <v>0.20694444444444446</v>
      </c>
      <c r="H47" s="52">
        <v>0.22222222222222221</v>
      </c>
      <c r="I47" s="161">
        <v>143</v>
      </c>
      <c r="J47" s="157">
        <v>157</v>
      </c>
      <c r="K47" s="258">
        <v>5.2094907407407409E-2</v>
      </c>
      <c r="L47" s="11"/>
      <c r="M47" s="50"/>
      <c r="N47" s="2"/>
      <c r="O47" s="52"/>
      <c r="P47" s="161"/>
      <c r="Q47" s="157"/>
      <c r="R47" s="26"/>
      <c r="S47" s="223"/>
      <c r="T47" s="26"/>
      <c r="U47" s="53"/>
      <c r="V47" s="54"/>
      <c r="W47" s="11"/>
      <c r="X47" s="50"/>
      <c r="Y47" s="161"/>
      <c r="Z47" s="157"/>
      <c r="AA47" s="263"/>
      <c r="AB47" s="11"/>
      <c r="AC47" s="11"/>
      <c r="AD47" s="52"/>
      <c r="AE47" s="161"/>
      <c r="AF47" s="157"/>
      <c r="AG47" s="233"/>
      <c r="AH47" s="13">
        <f t="shared" si="0"/>
        <v>14.07</v>
      </c>
      <c r="AI47" s="87">
        <f t="shared" si="1"/>
        <v>10</v>
      </c>
      <c r="AJ47" s="27">
        <f t="shared" si="2"/>
        <v>4.07</v>
      </c>
      <c r="AK47" s="63">
        <f t="shared" si="3"/>
        <v>5.2094907407407409E-2</v>
      </c>
      <c r="AL47" s="59"/>
      <c r="AM47" s="51"/>
      <c r="AN47" s="3"/>
      <c r="AO47" s="55"/>
      <c r="AP47" s="11"/>
      <c r="AQ47" s="55"/>
      <c r="AR47" s="11"/>
      <c r="AS47" s="55"/>
      <c r="AT47" s="11"/>
      <c r="AU47" s="55"/>
      <c r="AV47" s="11"/>
      <c r="AW47" s="55"/>
      <c r="AX47" s="11"/>
      <c r="AY47" s="55"/>
      <c r="AZ47" s="11"/>
      <c r="BA47" s="55"/>
      <c r="BB47" s="11"/>
      <c r="BC47" s="55"/>
      <c r="BD47" s="11"/>
      <c r="BE47" s="55"/>
      <c r="BF47" s="11"/>
      <c r="BG47" s="37"/>
    </row>
    <row r="48" spans="1:59" x14ac:dyDescent="0.25">
      <c r="A48" s="10"/>
      <c r="B48" s="1" t="s">
        <v>29</v>
      </c>
      <c r="C48" s="81">
        <v>43098</v>
      </c>
      <c r="D48" s="81" t="s">
        <v>417</v>
      </c>
      <c r="E48" s="3">
        <v>12</v>
      </c>
      <c r="F48" s="54">
        <v>84.69</v>
      </c>
      <c r="G48" s="2">
        <v>0.20694444444444446</v>
      </c>
      <c r="H48" s="52">
        <v>0.2722222222222222</v>
      </c>
      <c r="I48" s="161">
        <v>143</v>
      </c>
      <c r="J48" s="157">
        <v>134</v>
      </c>
      <c r="K48" s="258">
        <v>0.38465277777777779</v>
      </c>
      <c r="L48" s="11"/>
      <c r="M48" s="50"/>
      <c r="N48" s="2"/>
      <c r="O48" s="52"/>
      <c r="P48" s="161"/>
      <c r="Q48" s="157"/>
      <c r="R48" s="26"/>
      <c r="S48" s="223"/>
      <c r="T48" s="26"/>
      <c r="U48" s="53"/>
      <c r="V48" s="54"/>
      <c r="W48" s="11"/>
      <c r="X48" s="50"/>
      <c r="Y48" s="161"/>
      <c r="Z48" s="157"/>
      <c r="AA48" s="263"/>
      <c r="AB48" s="11"/>
      <c r="AC48" s="11"/>
      <c r="AD48" s="52"/>
      <c r="AE48" s="161"/>
      <c r="AF48" s="157"/>
      <c r="AG48" s="233"/>
      <c r="AH48" s="13">
        <f t="shared" si="0"/>
        <v>84.69</v>
      </c>
      <c r="AI48" s="87">
        <f t="shared" si="1"/>
        <v>12</v>
      </c>
      <c r="AJ48" s="27">
        <f t="shared" si="2"/>
        <v>72.69</v>
      </c>
      <c r="AK48" s="63">
        <f t="shared" si="3"/>
        <v>0.38465277777777779</v>
      </c>
      <c r="AL48" s="59"/>
      <c r="AM48" s="51"/>
      <c r="AN48" s="3"/>
      <c r="AO48" s="55"/>
      <c r="AP48" s="11"/>
      <c r="AQ48" s="55"/>
      <c r="AR48" s="11"/>
      <c r="AS48" s="55"/>
      <c r="AT48" s="11"/>
      <c r="AU48" s="55"/>
      <c r="AV48" s="11"/>
      <c r="AW48" s="55"/>
      <c r="AX48" s="11"/>
      <c r="AY48" s="55"/>
      <c r="AZ48" s="11"/>
      <c r="BA48" s="55"/>
      <c r="BB48" s="11"/>
      <c r="BC48" s="55"/>
      <c r="BD48" s="11"/>
      <c r="BE48" s="55"/>
      <c r="BF48" s="11"/>
      <c r="BG48" s="37"/>
    </row>
    <row r="49" spans="1:59" x14ac:dyDescent="0.25">
      <c r="A49" s="56"/>
      <c r="B49" s="17" t="s">
        <v>27</v>
      </c>
      <c r="C49" s="85">
        <v>43100</v>
      </c>
      <c r="D49" s="85" t="s">
        <v>427</v>
      </c>
      <c r="E49" s="19">
        <v>22</v>
      </c>
      <c r="F49" s="42">
        <v>42.08</v>
      </c>
      <c r="G49" s="21">
        <v>0.20694444444444446</v>
      </c>
      <c r="H49" s="22">
        <v>0.19791666666666666</v>
      </c>
      <c r="I49" s="160">
        <v>143</v>
      </c>
      <c r="J49" s="156">
        <v>152</v>
      </c>
      <c r="K49" s="259">
        <v>0.13899305555555555</v>
      </c>
      <c r="L49" s="18"/>
      <c r="M49" s="20"/>
      <c r="N49" s="18"/>
      <c r="O49" s="20"/>
      <c r="P49" s="160"/>
      <c r="Q49" s="156"/>
      <c r="R49" s="18"/>
      <c r="S49" s="224"/>
      <c r="T49" s="84"/>
      <c r="U49" s="31"/>
      <c r="V49" s="42"/>
      <c r="W49" s="18"/>
      <c r="X49" s="20"/>
      <c r="Y49" s="160"/>
      <c r="Z49" s="156"/>
      <c r="AA49" s="265"/>
      <c r="AB49" s="18"/>
      <c r="AC49" s="18"/>
      <c r="AD49" s="20"/>
      <c r="AE49" s="160"/>
      <c r="AF49" s="156"/>
      <c r="AG49" s="265"/>
      <c r="AH49" s="20">
        <f t="shared" si="0"/>
        <v>42.08</v>
      </c>
      <c r="AI49" s="88">
        <f t="shared" si="1"/>
        <v>22</v>
      </c>
      <c r="AJ49" s="34">
        <f t="shared" si="2"/>
        <v>20.079999999999998</v>
      </c>
      <c r="AK49" s="58">
        <f t="shared" si="3"/>
        <v>0.13899305555555555</v>
      </c>
      <c r="AL49" s="57">
        <f>SUM(AH44:AH49)</f>
        <v>172.39999999999998</v>
      </c>
      <c r="AM49" s="21">
        <f>SUM(AK44:AK49)</f>
        <v>0.6883217592592592</v>
      </c>
      <c r="AN49" s="19"/>
      <c r="AO49" s="36"/>
      <c r="AP49" s="18"/>
      <c r="AQ49" s="36"/>
      <c r="AR49" s="18"/>
      <c r="AS49" s="36"/>
      <c r="AT49" s="18"/>
      <c r="AU49" s="36"/>
      <c r="AV49" s="18"/>
      <c r="AW49" s="36"/>
      <c r="AX49" s="18"/>
      <c r="AY49" s="36"/>
      <c r="AZ49" s="18"/>
      <c r="BA49" s="36"/>
      <c r="BB49" s="18"/>
      <c r="BC49" s="36"/>
      <c r="BD49" s="18"/>
      <c r="BE49" s="36"/>
      <c r="BF49" s="18"/>
      <c r="BG49" s="38"/>
    </row>
    <row r="50" spans="1:59" x14ac:dyDescent="0.25">
      <c r="A50" s="10"/>
      <c r="B50" s="1" t="s">
        <v>0</v>
      </c>
      <c r="C50" s="81">
        <v>43101</v>
      </c>
      <c r="D50" s="81"/>
      <c r="E50" s="3">
        <v>10</v>
      </c>
      <c r="F50" s="54">
        <v>10.199999999999999</v>
      </c>
      <c r="G50" s="51"/>
      <c r="H50" s="52">
        <v>0.20416666666666669</v>
      </c>
      <c r="I50" s="159">
        <v>129</v>
      </c>
      <c r="J50" s="157">
        <v>155</v>
      </c>
      <c r="K50" s="258">
        <v>3.4641203703703702E-2</v>
      </c>
      <c r="L50" s="11"/>
      <c r="M50" s="50"/>
      <c r="N50" s="11"/>
      <c r="O50" s="50"/>
      <c r="P50" s="161"/>
      <c r="Q50" s="157"/>
      <c r="R50" s="11"/>
      <c r="S50" s="223"/>
      <c r="T50" s="26"/>
      <c r="U50" s="53"/>
      <c r="V50" s="54"/>
      <c r="W50" s="11"/>
      <c r="X50" s="50"/>
      <c r="Y50" s="161"/>
      <c r="Z50" s="157"/>
      <c r="AA50" s="263"/>
      <c r="AB50" s="11"/>
      <c r="AC50" s="11"/>
      <c r="AD50" s="50"/>
      <c r="AE50" s="161"/>
      <c r="AF50" s="157"/>
      <c r="AG50" s="263"/>
      <c r="AH50" s="13">
        <f t="shared" si="0"/>
        <v>10.199999999999999</v>
      </c>
      <c r="AI50" s="87">
        <f t="shared" si="1"/>
        <v>10</v>
      </c>
      <c r="AJ50" s="27">
        <f t="shared" si="2"/>
        <v>0.19999999999999929</v>
      </c>
      <c r="AK50" s="63">
        <f t="shared" si="3"/>
        <v>3.4641203703703702E-2</v>
      </c>
      <c r="AL50" s="59"/>
      <c r="AM50" s="51"/>
      <c r="AN50" s="3"/>
      <c r="AO50" s="9">
        <f>$AN$2-AN50</f>
        <v>79.3</v>
      </c>
      <c r="AQ50" s="9">
        <f>$AP$2-AP50</f>
        <v>94</v>
      </c>
      <c r="AS50" s="9">
        <f>$AR$2-AR50</f>
        <v>97</v>
      </c>
      <c r="AU50" s="9">
        <f>$AT$2-AT50</f>
        <v>99</v>
      </c>
      <c r="AV50"/>
      <c r="AW50" s="9">
        <f>$AV$2-AV50</f>
        <v>58</v>
      </c>
      <c r="AY50" s="9">
        <f>$AX$2-AX50</f>
        <v>58.5</v>
      </c>
      <c r="AZ50"/>
      <c r="BA50" s="9">
        <f>$AZ$2-AZ50</f>
        <v>41</v>
      </c>
      <c r="BB50"/>
      <c r="BC50" s="9">
        <f>$BB$2-BB50</f>
        <v>41</v>
      </c>
      <c r="BD50"/>
      <c r="BE50" s="9">
        <f>$BD$2-BD50</f>
        <v>29</v>
      </c>
      <c r="BG50" s="37">
        <f>$BF$2-BF50</f>
        <v>29</v>
      </c>
    </row>
    <row r="51" spans="1:59" x14ac:dyDescent="0.25">
      <c r="A51" s="10"/>
      <c r="B51" s="1" t="s">
        <v>24</v>
      </c>
      <c r="C51" s="81">
        <v>43102</v>
      </c>
      <c r="D51" s="81"/>
      <c r="E51" s="3"/>
      <c r="F51" s="54"/>
      <c r="G51" s="51"/>
      <c r="H51" s="52"/>
      <c r="I51" s="161"/>
      <c r="J51" s="157"/>
      <c r="K51" s="258"/>
      <c r="L51" s="11">
        <v>6</v>
      </c>
      <c r="M51" s="50">
        <v>6.06</v>
      </c>
      <c r="N51" s="51"/>
      <c r="O51" s="52"/>
      <c r="P51" s="161">
        <v>143</v>
      </c>
      <c r="Q51" s="157">
        <v>148</v>
      </c>
      <c r="R51" s="26">
        <v>2.0370370370370369E-2</v>
      </c>
      <c r="S51" s="223"/>
      <c r="T51" s="26"/>
      <c r="U51" s="53"/>
      <c r="V51" s="54"/>
      <c r="W51" s="11"/>
      <c r="X51" s="50"/>
      <c r="Y51" s="161"/>
      <c r="Z51" s="157"/>
      <c r="AA51" s="263"/>
      <c r="AB51" s="11">
        <v>8</v>
      </c>
      <c r="AC51" s="2">
        <v>0.16388888888888889</v>
      </c>
      <c r="AD51" s="52">
        <v>0.17222222222222225</v>
      </c>
      <c r="AE51" s="161">
        <v>170</v>
      </c>
      <c r="AF51" s="157">
        <v>164</v>
      </c>
      <c r="AG51" s="233">
        <v>2.298611111111111E-2</v>
      </c>
      <c r="AH51" s="13">
        <f t="shared" si="0"/>
        <v>14.059999999999999</v>
      </c>
      <c r="AI51" s="87">
        <f t="shared" si="1"/>
        <v>14</v>
      </c>
      <c r="AJ51" s="27">
        <f t="shared" si="2"/>
        <v>5.9999999999998721E-2</v>
      </c>
      <c r="AK51" s="63">
        <f t="shared" si="3"/>
        <v>4.3356481481481482E-2</v>
      </c>
      <c r="AL51" s="59"/>
      <c r="AM51" s="51"/>
      <c r="AN51" s="3"/>
      <c r="AV51"/>
      <c r="AZ51"/>
      <c r="BB51"/>
      <c r="BD51"/>
      <c r="BG51" s="37"/>
    </row>
    <row r="52" spans="1:59" x14ac:dyDescent="0.25">
      <c r="A52" s="10">
        <v>1</v>
      </c>
      <c r="B52" s="1" t="s">
        <v>15</v>
      </c>
      <c r="C52" s="81">
        <v>43103</v>
      </c>
      <c r="D52" s="81"/>
      <c r="E52" s="3">
        <v>10</v>
      </c>
      <c r="F52" s="54">
        <v>10.029999999999999</v>
      </c>
      <c r="G52" s="51"/>
      <c r="H52" s="52">
        <v>0.19444444444444445</v>
      </c>
      <c r="I52" s="159">
        <v>129</v>
      </c>
      <c r="J52" s="157">
        <v>153</v>
      </c>
      <c r="K52" s="258">
        <v>3.2499999999999994E-2</v>
      </c>
      <c r="L52" s="11"/>
      <c r="M52" s="50"/>
      <c r="N52" s="2"/>
      <c r="O52" s="52"/>
      <c r="P52" s="161"/>
      <c r="Q52" s="157"/>
      <c r="R52" s="26"/>
      <c r="S52" s="223"/>
      <c r="T52" s="26"/>
      <c r="U52" s="53"/>
      <c r="V52" s="54"/>
      <c r="W52" s="51"/>
      <c r="X52" s="52"/>
      <c r="Y52" s="161"/>
      <c r="Z52" s="157"/>
      <c r="AA52" s="233"/>
      <c r="AB52" s="11"/>
      <c r="AC52" s="11"/>
      <c r="AD52" s="50"/>
      <c r="AE52" s="161"/>
      <c r="AF52" s="157"/>
      <c r="AG52" s="263"/>
      <c r="AH52" s="13">
        <f t="shared" si="0"/>
        <v>10.029999999999999</v>
      </c>
      <c r="AI52" s="87">
        <f t="shared" si="1"/>
        <v>10</v>
      </c>
      <c r="AJ52" s="27">
        <f t="shared" si="2"/>
        <v>2.9999999999999361E-2</v>
      </c>
      <c r="AK52" s="63">
        <f t="shared" si="3"/>
        <v>3.2499999999999994E-2</v>
      </c>
      <c r="AL52" s="59"/>
      <c r="AM52" s="51"/>
      <c r="AN52" s="3"/>
      <c r="AO52" s="55"/>
      <c r="AP52" s="11"/>
      <c r="AQ52" s="55"/>
      <c r="AR52" s="11"/>
      <c r="AS52" s="55"/>
      <c r="AT52" s="11"/>
      <c r="AU52" s="55"/>
      <c r="AV52" s="11"/>
      <c r="AW52" s="55"/>
      <c r="AX52" s="11"/>
      <c r="AY52" s="55"/>
      <c r="AZ52" s="11"/>
      <c r="BA52" s="55"/>
      <c r="BB52" s="11"/>
      <c r="BC52" s="55"/>
      <c r="BD52" s="11"/>
      <c r="BE52" s="55"/>
      <c r="BF52" s="11"/>
      <c r="BG52" s="37"/>
    </row>
    <row r="53" spans="1:59" x14ac:dyDescent="0.25">
      <c r="A53" s="10"/>
      <c r="B53" s="1" t="s">
        <v>26</v>
      </c>
      <c r="C53" s="81">
        <v>43104</v>
      </c>
      <c r="D53" s="81"/>
      <c r="E53" s="3">
        <v>10</v>
      </c>
      <c r="F53" s="54">
        <v>11.3</v>
      </c>
      <c r="G53" s="2">
        <v>0.20694444444444446</v>
      </c>
      <c r="H53" s="52">
        <v>0.19999999999999998</v>
      </c>
      <c r="I53" s="161">
        <v>143</v>
      </c>
      <c r="J53" s="157">
        <v>149</v>
      </c>
      <c r="K53" s="258">
        <v>3.771990740740741E-2</v>
      </c>
      <c r="L53" s="11"/>
      <c r="M53" s="50"/>
      <c r="N53" s="2"/>
      <c r="O53" s="52"/>
      <c r="P53" s="161"/>
      <c r="Q53" s="157"/>
      <c r="R53" s="26"/>
      <c r="S53" s="223"/>
      <c r="T53" s="26"/>
      <c r="U53" s="53"/>
      <c r="V53" s="54"/>
      <c r="W53" s="51"/>
      <c r="X53" s="52"/>
      <c r="Y53" s="161"/>
      <c r="Z53" s="157"/>
      <c r="AA53" s="233"/>
      <c r="AB53" s="11"/>
      <c r="AC53" s="11"/>
      <c r="AD53" s="50"/>
      <c r="AE53" s="161"/>
      <c r="AF53" s="157"/>
      <c r="AG53" s="263"/>
      <c r="AH53" s="13">
        <f t="shared" si="0"/>
        <v>11.3</v>
      </c>
      <c r="AI53" s="87">
        <f t="shared" si="1"/>
        <v>10</v>
      </c>
      <c r="AJ53" s="27">
        <f t="shared" si="2"/>
        <v>1.3000000000000007</v>
      </c>
      <c r="AK53" s="63">
        <f t="shared" si="3"/>
        <v>3.771990740740741E-2</v>
      </c>
      <c r="AL53" s="59"/>
      <c r="AM53" s="51"/>
      <c r="AN53" s="3"/>
      <c r="AO53" s="55"/>
      <c r="AP53" s="11"/>
      <c r="AQ53" s="55"/>
      <c r="AR53" s="11"/>
      <c r="AS53" s="55"/>
      <c r="AT53" s="11"/>
      <c r="AU53" s="55"/>
      <c r="AV53" s="11"/>
      <c r="AW53" s="55"/>
      <c r="AX53" s="11"/>
      <c r="AY53" s="55"/>
      <c r="AZ53" s="11"/>
      <c r="BA53" s="55"/>
      <c r="BB53" s="11"/>
      <c r="BC53" s="55"/>
      <c r="BD53" s="11"/>
      <c r="BE53" s="55"/>
      <c r="BF53" s="11"/>
      <c r="BG53" s="37"/>
    </row>
    <row r="54" spans="1:59" x14ac:dyDescent="0.25">
      <c r="A54" s="10"/>
      <c r="B54" s="1" t="s">
        <v>29</v>
      </c>
      <c r="C54" s="81">
        <v>43105</v>
      </c>
      <c r="D54" s="81"/>
      <c r="E54" s="3">
        <v>18</v>
      </c>
      <c r="F54" s="54">
        <v>18.03</v>
      </c>
      <c r="G54" s="2">
        <v>0.20694444444444446</v>
      </c>
      <c r="H54" s="52">
        <v>0.19999999999999998</v>
      </c>
      <c r="I54" s="161">
        <v>143</v>
      </c>
      <c r="J54" s="157">
        <v>150</v>
      </c>
      <c r="K54" s="258">
        <v>6.0173611111111108E-2</v>
      </c>
      <c r="L54" s="11"/>
      <c r="M54" s="50"/>
      <c r="N54" s="2"/>
      <c r="O54" s="52"/>
      <c r="P54" s="161"/>
      <c r="Q54" s="157"/>
      <c r="R54" s="26"/>
      <c r="S54" s="223"/>
      <c r="T54" s="26"/>
      <c r="U54" s="53"/>
      <c r="V54" s="54"/>
      <c r="W54" s="51"/>
      <c r="X54" s="52"/>
      <c r="Y54" s="161"/>
      <c r="Z54" s="157"/>
      <c r="AA54" s="233"/>
      <c r="AB54" s="11"/>
      <c r="AC54" s="11"/>
      <c r="AD54" s="50"/>
      <c r="AE54" s="161"/>
      <c r="AF54" s="157"/>
      <c r="AG54" s="263"/>
      <c r="AH54" s="13">
        <f t="shared" si="0"/>
        <v>18.03</v>
      </c>
      <c r="AI54" s="87">
        <f t="shared" si="1"/>
        <v>18</v>
      </c>
      <c r="AJ54" s="27">
        <f t="shared" si="2"/>
        <v>3.0000000000001137E-2</v>
      </c>
      <c r="AK54" s="63">
        <f t="shared" si="3"/>
        <v>6.0173611111111108E-2</v>
      </c>
      <c r="AL54" s="59"/>
      <c r="AM54" s="51"/>
      <c r="AN54" s="3"/>
      <c r="AO54" s="55"/>
      <c r="AP54" s="11"/>
      <c r="AQ54" s="55"/>
      <c r="AR54" s="11"/>
      <c r="AS54" s="55"/>
      <c r="AT54" s="11"/>
      <c r="AU54" s="55"/>
      <c r="AV54" s="11"/>
      <c r="AW54" s="55"/>
      <c r="AX54" s="11"/>
      <c r="AY54" s="55"/>
      <c r="AZ54" s="11"/>
      <c r="BA54" s="55"/>
      <c r="BB54" s="11"/>
      <c r="BC54" s="55"/>
      <c r="BD54" s="11"/>
      <c r="BE54" s="55"/>
      <c r="BF54" s="11"/>
      <c r="BG54" s="37"/>
    </row>
    <row r="55" spans="1:59" x14ac:dyDescent="0.25">
      <c r="A55" s="56"/>
      <c r="B55" s="17" t="s">
        <v>27</v>
      </c>
      <c r="C55" s="85">
        <v>43107</v>
      </c>
      <c r="D55" s="85" t="s">
        <v>429</v>
      </c>
      <c r="E55" s="19">
        <v>28</v>
      </c>
      <c r="F55" s="42">
        <v>42.37</v>
      </c>
      <c r="G55" s="21">
        <v>0.20694444444444446</v>
      </c>
      <c r="H55" s="22">
        <v>0.18958333333333333</v>
      </c>
      <c r="I55" s="160">
        <v>157</v>
      </c>
      <c r="J55" s="156">
        <v>151</v>
      </c>
      <c r="K55" s="259">
        <v>0.13380787037037037</v>
      </c>
      <c r="L55" s="18"/>
      <c r="M55" s="20"/>
      <c r="N55" s="18"/>
      <c r="O55" s="20"/>
      <c r="P55" s="160"/>
      <c r="Q55" s="156"/>
      <c r="R55" s="18"/>
      <c r="S55" s="224"/>
      <c r="T55" s="84"/>
      <c r="U55" s="31"/>
      <c r="V55" s="42"/>
      <c r="W55" s="18"/>
      <c r="X55" s="20"/>
      <c r="Y55" s="160"/>
      <c r="Z55" s="156"/>
      <c r="AA55" s="265"/>
      <c r="AB55" s="18"/>
      <c r="AC55" s="18"/>
      <c r="AD55" s="20"/>
      <c r="AE55" s="160"/>
      <c r="AF55" s="156"/>
      <c r="AG55" s="265"/>
      <c r="AH55" s="20">
        <f t="shared" si="0"/>
        <v>42.37</v>
      </c>
      <c r="AI55" s="88">
        <f t="shared" si="1"/>
        <v>28</v>
      </c>
      <c r="AJ55" s="34">
        <f t="shared" si="2"/>
        <v>14.369999999999997</v>
      </c>
      <c r="AK55" s="58">
        <f t="shared" si="3"/>
        <v>0.13380787037037037</v>
      </c>
      <c r="AL55" s="57">
        <f>SUM(AH50:AH55)</f>
        <v>105.99000000000001</v>
      </c>
      <c r="AM55" s="21">
        <f>SUM(AK50:AK55)</f>
        <v>0.34219907407407407</v>
      </c>
      <c r="AN55" s="19"/>
      <c r="AO55" s="36"/>
      <c r="AP55" s="18"/>
      <c r="AQ55" s="36"/>
      <c r="AR55" s="18"/>
      <c r="AS55" s="36"/>
      <c r="AT55" s="18"/>
      <c r="AU55" s="36"/>
      <c r="AV55" s="18"/>
      <c r="AW55" s="36"/>
      <c r="AX55" s="18"/>
      <c r="AY55" s="36"/>
      <c r="AZ55" s="18"/>
      <c r="BA55" s="36"/>
      <c r="BB55" s="18"/>
      <c r="BC55" s="36"/>
      <c r="BD55" s="18"/>
      <c r="BE55" s="36"/>
      <c r="BF55" s="18"/>
      <c r="BG55" s="38"/>
    </row>
    <row r="56" spans="1:59" x14ac:dyDescent="0.25">
      <c r="A56" s="10"/>
      <c r="B56" s="1" t="s">
        <v>0</v>
      </c>
      <c r="C56" s="81">
        <v>43108</v>
      </c>
      <c r="D56" s="81"/>
      <c r="E56" s="3">
        <v>10</v>
      </c>
      <c r="F56" s="54">
        <v>10.09</v>
      </c>
      <c r="G56" s="51"/>
      <c r="H56" s="52">
        <v>0.21249999999999999</v>
      </c>
      <c r="I56" s="159">
        <v>129</v>
      </c>
      <c r="J56" s="157">
        <v>138</v>
      </c>
      <c r="K56" s="258">
        <v>3.5729166666666666E-2</v>
      </c>
      <c r="L56" s="11"/>
      <c r="M56" s="50"/>
      <c r="N56" s="51"/>
      <c r="O56" s="52"/>
      <c r="P56" s="161"/>
      <c r="Q56" s="157"/>
      <c r="R56" s="26"/>
      <c r="S56" s="223"/>
      <c r="T56" s="26"/>
      <c r="U56" s="53"/>
      <c r="V56" s="54"/>
      <c r="W56" s="11"/>
      <c r="X56" s="50"/>
      <c r="Y56" s="161"/>
      <c r="Z56" s="157"/>
      <c r="AA56" s="263"/>
      <c r="AB56" s="11"/>
      <c r="AC56" s="11"/>
      <c r="AD56" s="52"/>
      <c r="AE56" s="161"/>
      <c r="AF56" s="157"/>
      <c r="AG56" s="233"/>
      <c r="AH56" s="13">
        <f t="shared" si="0"/>
        <v>10.09</v>
      </c>
      <c r="AI56" s="87">
        <f t="shared" si="1"/>
        <v>10</v>
      </c>
      <c r="AJ56" s="27">
        <f t="shared" si="2"/>
        <v>8.9999999999999858E-2</v>
      </c>
      <c r="AK56" s="63">
        <f t="shared" si="3"/>
        <v>3.5729166666666666E-2</v>
      </c>
      <c r="AL56" s="59"/>
      <c r="AM56" s="51"/>
      <c r="AN56" s="3"/>
      <c r="AO56" s="9">
        <f>$AN$2-AN56</f>
        <v>79.3</v>
      </c>
      <c r="AQ56" s="9">
        <f>$AP$2-AP56</f>
        <v>94</v>
      </c>
      <c r="AS56" s="9">
        <f>$AR$2-AR56</f>
        <v>97</v>
      </c>
      <c r="AU56" s="9">
        <f>$AT$2-AT56</f>
        <v>99</v>
      </c>
      <c r="AV56"/>
      <c r="AW56" s="9">
        <f>$AV$2-AV56</f>
        <v>58</v>
      </c>
      <c r="AY56" s="9">
        <f>$AX$2-AX56</f>
        <v>58.5</v>
      </c>
      <c r="AZ56"/>
      <c r="BA56" s="9">
        <f>$AZ$2-AZ56</f>
        <v>41</v>
      </c>
      <c r="BB56"/>
      <c r="BC56" s="9">
        <f>$BB$2-BB56</f>
        <v>41</v>
      </c>
      <c r="BD56"/>
      <c r="BE56" s="9">
        <f>$BD$2-BD56</f>
        <v>29</v>
      </c>
      <c r="BG56" s="37">
        <f>$BF$2-BF56</f>
        <v>29</v>
      </c>
    </row>
    <row r="57" spans="1:59" x14ac:dyDescent="0.25">
      <c r="A57" s="10"/>
      <c r="B57" s="1" t="s">
        <v>24</v>
      </c>
      <c r="C57" s="81">
        <v>43109</v>
      </c>
      <c r="D57" s="81"/>
      <c r="E57" s="3"/>
      <c r="F57" s="54"/>
      <c r="G57" s="51"/>
      <c r="H57" s="52"/>
      <c r="I57" s="161"/>
      <c r="J57" s="157"/>
      <c r="K57" s="258"/>
      <c r="L57" s="11">
        <v>6</v>
      </c>
      <c r="M57" s="50">
        <v>6.04</v>
      </c>
      <c r="N57" s="51"/>
      <c r="O57" s="52">
        <v>0.21319444444444444</v>
      </c>
      <c r="P57" s="161">
        <v>143</v>
      </c>
      <c r="Q57" s="157">
        <v>140</v>
      </c>
      <c r="R57" s="26">
        <v>2.146990740740741E-2</v>
      </c>
      <c r="S57" s="223"/>
      <c r="T57" s="26"/>
      <c r="U57" s="53"/>
      <c r="V57" s="54"/>
      <c r="W57" s="11"/>
      <c r="X57" s="50"/>
      <c r="Y57" s="161"/>
      <c r="Z57" s="157"/>
      <c r="AA57" s="263"/>
      <c r="AB57" s="11">
        <v>9</v>
      </c>
      <c r="AC57" s="2">
        <v>0.16388888888888889</v>
      </c>
      <c r="AD57" s="52">
        <v>0.17013888888888887</v>
      </c>
      <c r="AE57" s="161">
        <v>170</v>
      </c>
      <c r="AF57" s="157">
        <v>166</v>
      </c>
      <c r="AG57" s="233">
        <v>2.5532407407407406E-2</v>
      </c>
      <c r="AH57" s="50">
        <f t="shared" si="0"/>
        <v>15.04</v>
      </c>
      <c r="AI57" s="87">
        <f t="shared" si="1"/>
        <v>15</v>
      </c>
      <c r="AJ57" s="27">
        <f t="shared" si="2"/>
        <v>3.9999999999999147E-2</v>
      </c>
      <c r="AK57" s="63">
        <f t="shared" si="3"/>
        <v>4.7002314814814816E-2</v>
      </c>
      <c r="AL57" s="59"/>
      <c r="AM57" s="51"/>
      <c r="AN57" s="3"/>
      <c r="AV57"/>
      <c r="AZ57"/>
      <c r="BB57"/>
      <c r="BD57"/>
      <c r="BG57" s="37"/>
    </row>
    <row r="58" spans="1:59" x14ac:dyDescent="0.25">
      <c r="A58" s="10">
        <v>2</v>
      </c>
      <c r="B58" s="1" t="s">
        <v>15</v>
      </c>
      <c r="C58" s="81">
        <v>43110</v>
      </c>
      <c r="D58" s="81"/>
      <c r="E58" s="3">
        <v>10</v>
      </c>
      <c r="F58" s="54">
        <v>10.050000000000001</v>
      </c>
      <c r="G58" s="51"/>
      <c r="H58" s="52">
        <v>0.20486111111111113</v>
      </c>
      <c r="I58" s="159">
        <v>129</v>
      </c>
      <c r="J58" s="157">
        <v>145</v>
      </c>
      <c r="K58" s="258">
        <v>3.4340277777777782E-2</v>
      </c>
      <c r="L58" s="11"/>
      <c r="M58" s="50"/>
      <c r="N58" s="51"/>
      <c r="O58" s="52"/>
      <c r="P58" s="161"/>
      <c r="Q58" s="157"/>
      <c r="R58" s="26"/>
      <c r="S58" s="223"/>
      <c r="T58" s="26"/>
      <c r="U58" s="53"/>
      <c r="V58" s="54"/>
      <c r="W58" s="11"/>
      <c r="X58" s="50"/>
      <c r="Y58" s="161"/>
      <c r="Z58" s="157"/>
      <c r="AA58" s="263"/>
      <c r="AB58" s="11"/>
      <c r="AC58" s="11"/>
      <c r="AD58" s="52"/>
      <c r="AE58" s="161"/>
      <c r="AF58" s="157"/>
      <c r="AG58" s="233"/>
      <c r="AH58" s="50">
        <f t="shared" si="0"/>
        <v>10.050000000000001</v>
      </c>
      <c r="AI58" s="87">
        <f t="shared" si="1"/>
        <v>10</v>
      </c>
      <c r="AJ58" s="27">
        <f t="shared" si="2"/>
        <v>5.0000000000000711E-2</v>
      </c>
      <c r="AK58" s="63">
        <f t="shared" si="3"/>
        <v>3.4340277777777782E-2</v>
      </c>
      <c r="AL58" s="59"/>
      <c r="AM58" s="51"/>
      <c r="AN58" s="3"/>
      <c r="AO58" s="55"/>
      <c r="AP58" s="11"/>
      <c r="AQ58" s="55"/>
      <c r="AR58" s="11"/>
      <c r="AS58" s="55"/>
      <c r="AT58" s="11"/>
      <c r="AU58" s="55"/>
      <c r="AV58" s="11"/>
      <c r="AW58" s="55"/>
      <c r="AX58" s="11"/>
      <c r="AY58" s="55"/>
      <c r="AZ58" s="11"/>
      <c r="BA58" s="55"/>
      <c r="BB58" s="11"/>
      <c r="BC58" s="55"/>
      <c r="BD58" s="11"/>
      <c r="BE58" s="55"/>
      <c r="BF58" s="11"/>
      <c r="BG58" s="37"/>
    </row>
    <row r="59" spans="1:59" x14ac:dyDescent="0.25">
      <c r="A59" s="10"/>
      <c r="B59" s="1" t="s">
        <v>26</v>
      </c>
      <c r="C59" s="81">
        <v>43111</v>
      </c>
      <c r="D59" s="81"/>
      <c r="E59" s="3">
        <v>20</v>
      </c>
      <c r="F59" s="54">
        <v>20.47</v>
      </c>
      <c r="G59" s="2">
        <v>0.20694444444444446</v>
      </c>
      <c r="H59" s="52">
        <v>0.19652777777777777</v>
      </c>
      <c r="I59" s="161">
        <v>143</v>
      </c>
      <c r="J59" s="157">
        <v>148</v>
      </c>
      <c r="K59" s="258">
        <v>6.7094907407407409E-2</v>
      </c>
      <c r="L59" s="11"/>
      <c r="M59" s="50"/>
      <c r="N59" s="51"/>
      <c r="O59" s="52"/>
      <c r="P59" s="161"/>
      <c r="Q59" s="157"/>
      <c r="R59" s="26"/>
      <c r="S59" s="223"/>
      <c r="T59" s="26"/>
      <c r="U59" s="53"/>
      <c r="V59" s="54"/>
      <c r="W59" s="11"/>
      <c r="X59" s="50"/>
      <c r="Y59" s="161"/>
      <c r="Z59" s="157"/>
      <c r="AA59" s="263"/>
      <c r="AB59" s="11"/>
      <c r="AC59" s="11"/>
      <c r="AD59" s="52"/>
      <c r="AE59" s="161"/>
      <c r="AF59" s="157"/>
      <c r="AG59" s="233"/>
      <c r="AH59" s="13">
        <f t="shared" si="0"/>
        <v>20.47</v>
      </c>
      <c r="AI59" s="87">
        <f t="shared" si="1"/>
        <v>20</v>
      </c>
      <c r="AJ59" s="27">
        <f t="shared" si="2"/>
        <v>0.46999999999999886</v>
      </c>
      <c r="AK59" s="63">
        <f t="shared" si="3"/>
        <v>6.7094907407407409E-2</v>
      </c>
      <c r="AL59" s="59"/>
      <c r="AM59" s="51"/>
      <c r="AN59" s="3"/>
      <c r="AO59" s="55"/>
      <c r="AP59" s="11"/>
      <c r="AQ59" s="55"/>
      <c r="AR59" s="11"/>
      <c r="AS59" s="55"/>
      <c r="AT59" s="11"/>
      <c r="AU59" s="55"/>
      <c r="AV59" s="11"/>
      <c r="AW59" s="55"/>
      <c r="AX59" s="11"/>
      <c r="AY59" s="55"/>
      <c r="AZ59" s="11"/>
      <c r="BA59" s="55"/>
      <c r="BB59" s="11"/>
      <c r="BC59" s="55"/>
      <c r="BD59" s="11"/>
      <c r="BE59" s="55"/>
      <c r="BF59" s="11"/>
      <c r="BG59" s="37"/>
    </row>
    <row r="60" spans="1:59" x14ac:dyDescent="0.25">
      <c r="A60" s="10"/>
      <c r="B60" s="1" t="s">
        <v>29</v>
      </c>
      <c r="C60" s="81">
        <v>43112</v>
      </c>
      <c r="D60" s="81"/>
      <c r="E60" s="3"/>
      <c r="F60" s="54"/>
      <c r="G60" s="51"/>
      <c r="H60" s="52"/>
      <c r="I60" s="161"/>
      <c r="J60" s="157"/>
      <c r="K60" s="258"/>
      <c r="L60" s="11">
        <v>6</v>
      </c>
      <c r="M60" s="50">
        <v>12.22</v>
      </c>
      <c r="N60" s="51"/>
      <c r="O60" s="52"/>
      <c r="P60" s="161">
        <v>143</v>
      </c>
      <c r="Q60" s="157">
        <v>147</v>
      </c>
      <c r="R60" s="26">
        <v>4.0729166666666664E-2</v>
      </c>
      <c r="S60" s="223"/>
      <c r="T60" s="26"/>
      <c r="U60" s="53"/>
      <c r="V60" s="54"/>
      <c r="W60" s="11"/>
      <c r="X60" s="50"/>
      <c r="Y60" s="161"/>
      <c r="Z60" s="157"/>
      <c r="AA60" s="263"/>
      <c r="AB60" s="11">
        <v>4</v>
      </c>
      <c r="AC60" s="51"/>
      <c r="AD60" s="52">
        <v>0.17708333333333334</v>
      </c>
      <c r="AE60" s="161">
        <v>184</v>
      </c>
      <c r="AF60" s="157">
        <v>156</v>
      </c>
      <c r="AG60" s="233">
        <v>1.1805555555555555E-2</v>
      </c>
      <c r="AH60" s="50">
        <f t="shared" si="0"/>
        <v>16.22</v>
      </c>
      <c r="AI60" s="87">
        <f t="shared" si="1"/>
        <v>10</v>
      </c>
      <c r="AJ60" s="27">
        <f t="shared" si="2"/>
        <v>6.2199999999999989</v>
      </c>
      <c r="AK60" s="63">
        <f t="shared" si="3"/>
        <v>5.2534722222222219E-2</v>
      </c>
      <c r="AL60" s="59"/>
      <c r="AM60" s="51"/>
      <c r="AN60" s="3"/>
      <c r="AO60" s="55"/>
      <c r="AP60" s="11"/>
      <c r="AQ60" s="55"/>
      <c r="AR60" s="11"/>
      <c r="AS60" s="55"/>
      <c r="AT60" s="11"/>
      <c r="AU60" s="55"/>
      <c r="AV60" s="11"/>
      <c r="AW60" s="55"/>
      <c r="AX60" s="11"/>
      <c r="AY60" s="55"/>
      <c r="AZ60" s="11"/>
      <c r="BA60" s="55"/>
      <c r="BB60" s="11"/>
      <c r="BC60" s="55"/>
      <c r="BD60" s="11"/>
      <c r="BE60" s="55"/>
      <c r="BF60" s="11"/>
      <c r="BG60" s="37"/>
    </row>
    <row r="61" spans="1:59" x14ac:dyDescent="0.25">
      <c r="A61" s="56"/>
      <c r="B61" s="17" t="s">
        <v>27</v>
      </c>
      <c r="C61" s="85">
        <v>43114</v>
      </c>
      <c r="D61" s="85"/>
      <c r="E61" s="19">
        <v>30</v>
      </c>
      <c r="F61" s="42">
        <v>30.02</v>
      </c>
      <c r="G61" s="21">
        <v>0.20694444444444446</v>
      </c>
      <c r="H61" s="22">
        <v>0.20694444444444446</v>
      </c>
      <c r="I61" s="160">
        <v>157</v>
      </c>
      <c r="J61" s="156">
        <v>160</v>
      </c>
      <c r="K61" s="259">
        <v>0.10337962962962964</v>
      </c>
      <c r="L61" s="18"/>
      <c r="M61" s="20"/>
      <c r="N61" s="18"/>
      <c r="O61" s="20"/>
      <c r="P61" s="160"/>
      <c r="Q61" s="156"/>
      <c r="R61" s="18"/>
      <c r="S61" s="224"/>
      <c r="T61" s="84"/>
      <c r="U61" s="31"/>
      <c r="V61" s="42"/>
      <c r="W61" s="18"/>
      <c r="X61" s="20"/>
      <c r="Y61" s="160"/>
      <c r="Z61" s="156"/>
      <c r="AA61" s="265"/>
      <c r="AB61" s="18"/>
      <c r="AC61" s="18"/>
      <c r="AD61" s="20"/>
      <c r="AE61" s="160"/>
      <c r="AF61" s="156"/>
      <c r="AG61" s="265"/>
      <c r="AH61" s="20">
        <f t="shared" si="0"/>
        <v>30.02</v>
      </c>
      <c r="AI61" s="88">
        <f t="shared" si="1"/>
        <v>30</v>
      </c>
      <c r="AJ61" s="34">
        <f t="shared" si="2"/>
        <v>1.9999999999999574E-2</v>
      </c>
      <c r="AK61" s="58">
        <f t="shared" si="3"/>
        <v>0.10337962962962964</v>
      </c>
      <c r="AL61" s="57">
        <f>SUM(AH56:AH61)</f>
        <v>101.89</v>
      </c>
      <c r="AM61" s="21">
        <f>SUM(AK56:AK61)</f>
        <v>0.34008101851851857</v>
      </c>
      <c r="AN61" s="19"/>
      <c r="AO61" s="36"/>
      <c r="AP61" s="18"/>
      <c r="AQ61" s="36"/>
      <c r="AR61" s="18"/>
      <c r="AS61" s="36"/>
      <c r="AT61" s="18"/>
      <c r="AU61" s="36"/>
      <c r="AV61" s="18"/>
      <c r="AW61" s="36"/>
      <c r="AX61" s="18"/>
      <c r="AY61" s="36"/>
      <c r="AZ61" s="18"/>
      <c r="BA61" s="36"/>
      <c r="BB61" s="18"/>
      <c r="BC61" s="36"/>
      <c r="BD61" s="18"/>
      <c r="BE61" s="36"/>
      <c r="BF61" s="18"/>
      <c r="BG61" s="38"/>
    </row>
    <row r="62" spans="1:59" x14ac:dyDescent="0.25">
      <c r="A62" s="10"/>
      <c r="B62" s="1" t="s">
        <v>0</v>
      </c>
      <c r="C62" s="81">
        <v>43115</v>
      </c>
      <c r="D62" s="81"/>
      <c r="E62" s="3">
        <v>10</v>
      </c>
      <c r="F62" s="54">
        <v>10</v>
      </c>
      <c r="G62" s="51"/>
      <c r="H62" s="52">
        <v>0.20694444444444446</v>
      </c>
      <c r="I62" s="159">
        <v>129</v>
      </c>
      <c r="J62" s="157">
        <v>144</v>
      </c>
      <c r="K62" s="258">
        <v>3.4467592592592591E-2</v>
      </c>
      <c r="L62" s="11"/>
      <c r="M62" s="50"/>
      <c r="N62" s="51"/>
      <c r="O62" s="52"/>
      <c r="P62" s="161"/>
      <c r="Q62" s="157"/>
      <c r="R62" s="26"/>
      <c r="S62" s="223"/>
      <c r="T62" s="26"/>
      <c r="U62" s="53"/>
      <c r="V62" s="54"/>
      <c r="W62" s="11"/>
      <c r="X62" s="50"/>
      <c r="Y62" s="161"/>
      <c r="Z62" s="157"/>
      <c r="AA62" s="263"/>
      <c r="AB62" s="11"/>
      <c r="AC62" s="11"/>
      <c r="AD62" s="52"/>
      <c r="AE62" s="161"/>
      <c r="AF62" s="157"/>
      <c r="AG62" s="233"/>
      <c r="AH62" s="13">
        <f t="shared" si="0"/>
        <v>10</v>
      </c>
      <c r="AI62" s="87">
        <f t="shared" si="1"/>
        <v>10</v>
      </c>
      <c r="AJ62" s="27">
        <f t="shared" si="2"/>
        <v>0</v>
      </c>
      <c r="AK62" s="63">
        <f t="shared" si="3"/>
        <v>3.4467592592592591E-2</v>
      </c>
      <c r="AL62" s="59"/>
      <c r="AM62" s="51"/>
      <c r="AN62" s="3"/>
      <c r="AO62" s="9">
        <f>$AN$2-AN62</f>
        <v>79.3</v>
      </c>
      <c r="AQ62" s="9">
        <f>$AP$2-AP62</f>
        <v>94</v>
      </c>
      <c r="AS62" s="9">
        <f>$AR$2-AR62</f>
        <v>97</v>
      </c>
      <c r="AU62" s="9">
        <f>$AT$2-AT62</f>
        <v>99</v>
      </c>
      <c r="AV62"/>
      <c r="AW62" s="9">
        <f>$AV$2-AV62</f>
        <v>58</v>
      </c>
      <c r="AY62" s="9">
        <f>$AX$2-AX62</f>
        <v>58.5</v>
      </c>
      <c r="AZ62"/>
      <c r="BA62" s="9">
        <f>$AZ$2-AZ62</f>
        <v>41</v>
      </c>
      <c r="BB62"/>
      <c r="BC62" s="9">
        <f>$BB$2-BB62</f>
        <v>41</v>
      </c>
      <c r="BD62"/>
      <c r="BE62" s="9">
        <f>$BD$2-BD62</f>
        <v>29</v>
      </c>
      <c r="BG62" s="37">
        <f>$BF$2-BF62</f>
        <v>29</v>
      </c>
    </row>
    <row r="63" spans="1:59" x14ac:dyDescent="0.25">
      <c r="A63" s="10"/>
      <c r="B63" s="1" t="s">
        <v>24</v>
      </c>
      <c r="C63" s="81">
        <v>43116</v>
      </c>
      <c r="D63" s="81"/>
      <c r="E63" s="3"/>
      <c r="F63" s="54"/>
      <c r="G63" s="51"/>
      <c r="H63" s="52"/>
      <c r="I63" s="161"/>
      <c r="J63" s="157"/>
      <c r="K63" s="258"/>
      <c r="L63" s="11">
        <v>6</v>
      </c>
      <c r="M63" s="50">
        <v>6</v>
      </c>
      <c r="N63" s="11"/>
      <c r="O63" s="52">
        <v>0.21041666666666667</v>
      </c>
      <c r="P63" s="161">
        <v>143</v>
      </c>
      <c r="Q63" s="157">
        <v>147</v>
      </c>
      <c r="R63" s="26">
        <v>2.1064814814814814E-2</v>
      </c>
      <c r="S63" s="223"/>
      <c r="T63" s="26"/>
      <c r="U63" s="53"/>
      <c r="V63" s="54"/>
      <c r="W63" s="11"/>
      <c r="X63" s="50"/>
      <c r="Y63" s="161"/>
      <c r="Z63" s="157"/>
      <c r="AA63" s="263"/>
      <c r="AB63" s="11">
        <v>7</v>
      </c>
      <c r="AC63" s="2">
        <v>0.16388888888888889</v>
      </c>
      <c r="AD63" s="52">
        <v>0.16527777777777777</v>
      </c>
      <c r="AE63" s="161">
        <v>170</v>
      </c>
      <c r="AF63" s="157">
        <v>168</v>
      </c>
      <c r="AG63" s="233">
        <v>1.9317129629629629E-2</v>
      </c>
      <c r="AH63" s="13">
        <f t="shared" si="0"/>
        <v>13</v>
      </c>
      <c r="AI63" s="87">
        <f t="shared" si="1"/>
        <v>13</v>
      </c>
      <c r="AJ63" s="27">
        <f t="shared" si="2"/>
        <v>0</v>
      </c>
      <c r="AK63" s="63">
        <f t="shared" si="3"/>
        <v>4.0381944444444443E-2</v>
      </c>
      <c r="AL63" s="59"/>
      <c r="AM63" s="51"/>
      <c r="AN63" s="3"/>
      <c r="AV63"/>
      <c r="AZ63"/>
      <c r="BB63"/>
      <c r="BD63"/>
      <c r="BG63" s="37"/>
    </row>
    <row r="64" spans="1:59" x14ac:dyDescent="0.25">
      <c r="A64" s="10">
        <v>3</v>
      </c>
      <c r="B64" s="1" t="s">
        <v>15</v>
      </c>
      <c r="C64" s="81">
        <v>43117</v>
      </c>
      <c r="D64" s="81"/>
      <c r="E64" s="3">
        <v>10</v>
      </c>
      <c r="F64" s="54">
        <v>10.32</v>
      </c>
      <c r="G64" s="51"/>
      <c r="H64" s="52">
        <v>0.20972222222222223</v>
      </c>
      <c r="I64" s="159">
        <v>129</v>
      </c>
      <c r="J64" s="157">
        <v>143</v>
      </c>
      <c r="K64" s="258">
        <v>3.605324074074074E-2</v>
      </c>
      <c r="L64" s="11"/>
      <c r="M64" s="52"/>
      <c r="N64" s="51"/>
      <c r="O64" s="52"/>
      <c r="P64" s="161"/>
      <c r="Q64" s="157"/>
      <c r="R64" s="26"/>
      <c r="S64" s="223"/>
      <c r="T64" s="26"/>
      <c r="U64" s="53"/>
      <c r="V64" s="54"/>
      <c r="W64" s="11"/>
      <c r="X64" s="50"/>
      <c r="Y64" s="161"/>
      <c r="Z64" s="157"/>
      <c r="AA64" s="263"/>
      <c r="AB64" s="11"/>
      <c r="AC64" s="11"/>
      <c r="AD64" s="52"/>
      <c r="AE64" s="161"/>
      <c r="AF64" s="157"/>
      <c r="AG64" s="233"/>
      <c r="AH64" s="13">
        <f t="shared" si="0"/>
        <v>10.32</v>
      </c>
      <c r="AI64" s="87">
        <f t="shared" si="1"/>
        <v>10</v>
      </c>
      <c r="AJ64" s="27">
        <f t="shared" si="2"/>
        <v>0.32000000000000028</v>
      </c>
      <c r="AK64" s="63">
        <f t="shared" si="3"/>
        <v>3.605324074074074E-2</v>
      </c>
      <c r="AL64" s="59"/>
      <c r="AM64" s="51"/>
      <c r="AN64" s="3"/>
      <c r="AO64" s="55"/>
      <c r="AP64" s="11"/>
      <c r="AQ64" s="55"/>
      <c r="AR64" s="11"/>
      <c r="AS64" s="55"/>
      <c r="AT64" s="11"/>
      <c r="AU64" s="55"/>
      <c r="AV64" s="11"/>
      <c r="AW64" s="55"/>
      <c r="AX64" s="11"/>
      <c r="AY64" s="55"/>
      <c r="AZ64" s="11"/>
      <c r="BA64" s="55"/>
      <c r="BB64" s="11"/>
      <c r="BC64" s="55"/>
      <c r="BD64" s="11"/>
      <c r="BE64" s="55"/>
      <c r="BF64" s="11"/>
      <c r="BG64" s="37"/>
    </row>
    <row r="65" spans="1:59" x14ac:dyDescent="0.25">
      <c r="A65" s="10"/>
      <c r="B65" s="1" t="s">
        <v>26</v>
      </c>
      <c r="C65" s="81">
        <v>43118</v>
      </c>
      <c r="D65" s="81"/>
      <c r="E65" s="189">
        <v>12</v>
      </c>
      <c r="F65" s="54">
        <v>12.25</v>
      </c>
      <c r="G65" s="2">
        <v>0.20694444444444446</v>
      </c>
      <c r="H65" s="52">
        <v>0.20277777777777781</v>
      </c>
      <c r="I65" s="161">
        <v>143</v>
      </c>
      <c r="J65" s="157">
        <v>143</v>
      </c>
      <c r="K65" s="258">
        <v>4.1458333333333333E-2</v>
      </c>
      <c r="L65" s="11"/>
      <c r="M65" s="52"/>
      <c r="N65" s="51"/>
      <c r="O65" s="52"/>
      <c r="P65" s="161"/>
      <c r="Q65" s="157"/>
      <c r="R65" s="26"/>
      <c r="S65" s="223"/>
      <c r="T65" s="26"/>
      <c r="U65" s="53"/>
      <c r="V65" s="54"/>
      <c r="W65" s="11"/>
      <c r="X65" s="50"/>
      <c r="Y65" s="161"/>
      <c r="Z65" s="157"/>
      <c r="AA65" s="263"/>
      <c r="AB65" s="11"/>
      <c r="AC65" s="11"/>
      <c r="AD65" s="52"/>
      <c r="AE65" s="161"/>
      <c r="AF65" s="157"/>
      <c r="AG65" s="233"/>
      <c r="AH65" s="13">
        <f t="shared" si="0"/>
        <v>12.25</v>
      </c>
      <c r="AI65" s="87">
        <f t="shared" si="1"/>
        <v>12</v>
      </c>
      <c r="AJ65" s="27">
        <f t="shared" si="2"/>
        <v>0.25</v>
      </c>
      <c r="AK65" s="63">
        <f t="shared" si="3"/>
        <v>4.1458333333333333E-2</v>
      </c>
      <c r="AL65" s="59"/>
      <c r="AM65" s="51"/>
      <c r="AN65" s="3"/>
      <c r="AO65" s="55"/>
      <c r="AP65" s="11"/>
      <c r="AQ65" s="55"/>
      <c r="AR65" s="11"/>
      <c r="AS65" s="55"/>
      <c r="AT65" s="11"/>
      <c r="AU65" s="55"/>
      <c r="AV65" s="11"/>
      <c r="AW65" s="55"/>
      <c r="AX65" s="11"/>
      <c r="AY65" s="55"/>
      <c r="AZ65" s="11"/>
      <c r="BA65" s="55"/>
      <c r="BB65" s="11"/>
      <c r="BC65" s="55"/>
      <c r="BD65" s="11"/>
      <c r="BE65" s="55"/>
      <c r="BF65" s="11"/>
      <c r="BG65" s="37"/>
    </row>
    <row r="66" spans="1:59" x14ac:dyDescent="0.25">
      <c r="A66" s="10"/>
      <c r="B66" s="1" t="s">
        <v>29</v>
      </c>
      <c r="C66" s="81">
        <v>43119</v>
      </c>
      <c r="D66" s="81"/>
      <c r="E66" s="3">
        <v>21</v>
      </c>
      <c r="F66" s="54">
        <v>21.09</v>
      </c>
      <c r="G66" s="2">
        <v>0.20694444444444446</v>
      </c>
      <c r="H66" s="52">
        <v>0.19375000000000001</v>
      </c>
      <c r="I66" s="161">
        <v>143</v>
      </c>
      <c r="J66" s="157">
        <v>153</v>
      </c>
      <c r="K66" s="258">
        <v>6.7974537037037042E-2</v>
      </c>
      <c r="L66" s="11"/>
      <c r="M66" s="52"/>
      <c r="N66" s="51"/>
      <c r="O66" s="52"/>
      <c r="P66" s="161"/>
      <c r="Q66" s="157"/>
      <c r="R66" s="26"/>
      <c r="S66" s="223"/>
      <c r="T66" s="26"/>
      <c r="U66" s="53"/>
      <c r="V66" s="54"/>
      <c r="W66" s="11"/>
      <c r="X66" s="50"/>
      <c r="Y66" s="161"/>
      <c r="Z66" s="157"/>
      <c r="AA66" s="263"/>
      <c r="AB66" s="11"/>
      <c r="AC66" s="11"/>
      <c r="AD66" s="52"/>
      <c r="AE66" s="161"/>
      <c r="AF66" s="157"/>
      <c r="AG66" s="233"/>
      <c r="AH66" s="13">
        <f t="shared" si="0"/>
        <v>21.09</v>
      </c>
      <c r="AI66" s="87">
        <f t="shared" si="1"/>
        <v>21</v>
      </c>
      <c r="AJ66" s="27">
        <f t="shared" si="2"/>
        <v>8.9999999999999858E-2</v>
      </c>
      <c r="AK66" s="63">
        <f t="shared" si="3"/>
        <v>6.7974537037037042E-2</v>
      </c>
      <c r="AL66" s="59"/>
      <c r="AM66" s="51"/>
      <c r="AN66" s="3"/>
      <c r="AO66" s="55"/>
      <c r="AP66" s="11"/>
      <c r="AQ66" s="55"/>
      <c r="AR66" s="11"/>
      <c r="AS66" s="55"/>
      <c r="AT66" s="11"/>
      <c r="AU66" s="55"/>
      <c r="AV66" s="11"/>
      <c r="AW66" s="55"/>
      <c r="AX66" s="11"/>
      <c r="AY66" s="55"/>
      <c r="AZ66" s="11"/>
      <c r="BA66" s="55"/>
      <c r="BB66" s="11"/>
      <c r="BC66" s="55"/>
      <c r="BD66" s="11"/>
      <c r="BE66" s="55"/>
      <c r="BF66" s="11"/>
      <c r="BG66" s="37"/>
    </row>
    <row r="67" spans="1:59" x14ac:dyDescent="0.25">
      <c r="A67" s="56"/>
      <c r="B67" s="17" t="s">
        <v>27</v>
      </c>
      <c r="C67" s="85">
        <v>43121</v>
      </c>
      <c r="D67" s="85" t="s">
        <v>415</v>
      </c>
      <c r="E67" s="19">
        <v>32</v>
      </c>
      <c r="F67" s="42">
        <v>42.4</v>
      </c>
      <c r="G67" s="21">
        <v>0.20694444444444446</v>
      </c>
      <c r="H67" s="22">
        <v>0.17847222222222223</v>
      </c>
      <c r="I67" s="160">
        <v>143</v>
      </c>
      <c r="J67" s="156">
        <v>165</v>
      </c>
      <c r="K67" s="259">
        <v>0.12633101851851852</v>
      </c>
      <c r="L67" s="18"/>
      <c r="M67" s="20"/>
      <c r="N67" s="18"/>
      <c r="O67" s="20"/>
      <c r="P67" s="160"/>
      <c r="Q67" s="156"/>
      <c r="R67" s="18"/>
      <c r="S67" s="224"/>
      <c r="T67" s="84"/>
      <c r="U67" s="31"/>
      <c r="V67" s="42"/>
      <c r="W67" s="18"/>
      <c r="X67" s="20"/>
      <c r="Y67" s="160"/>
      <c r="Z67" s="156"/>
      <c r="AA67" s="265"/>
      <c r="AB67" s="18"/>
      <c r="AC67" s="18"/>
      <c r="AD67" s="20"/>
      <c r="AE67" s="160"/>
      <c r="AF67" s="156"/>
      <c r="AG67" s="265"/>
      <c r="AH67" s="20">
        <f t="shared" si="0"/>
        <v>42.4</v>
      </c>
      <c r="AI67" s="88">
        <f t="shared" si="1"/>
        <v>32</v>
      </c>
      <c r="AJ67" s="34">
        <f t="shared" si="2"/>
        <v>10.399999999999999</v>
      </c>
      <c r="AK67" s="58">
        <f t="shared" si="3"/>
        <v>0.12633101851851852</v>
      </c>
      <c r="AL67" s="57">
        <f>SUM(AH62:AH67)</f>
        <v>109.06</v>
      </c>
      <c r="AM67" s="21">
        <f>SUM(AK62:AK67)</f>
        <v>0.34666666666666668</v>
      </c>
      <c r="AN67" s="19"/>
      <c r="AO67" s="36"/>
      <c r="AP67" s="18"/>
      <c r="AQ67" s="36"/>
      <c r="AR67" s="18"/>
      <c r="AS67" s="36"/>
      <c r="AT67" s="18"/>
      <c r="AU67" s="36"/>
      <c r="AV67" s="18"/>
      <c r="AW67" s="36"/>
      <c r="AX67" s="18"/>
      <c r="AY67" s="36"/>
      <c r="AZ67" s="18"/>
      <c r="BA67" s="36"/>
      <c r="BB67" s="18"/>
      <c r="BC67" s="36"/>
      <c r="BD67" s="18"/>
      <c r="BE67" s="36"/>
      <c r="BF67" s="18"/>
      <c r="BG67" s="38"/>
    </row>
    <row r="68" spans="1:59" x14ac:dyDescent="0.25">
      <c r="A68" s="10"/>
      <c r="B68" s="1" t="s">
        <v>0</v>
      </c>
      <c r="C68" s="81">
        <v>43122</v>
      </c>
      <c r="D68" s="81"/>
      <c r="E68" s="3">
        <v>10</v>
      </c>
      <c r="F68" s="54">
        <v>10.29</v>
      </c>
      <c r="G68" s="2"/>
      <c r="H68" s="52">
        <v>0.20486111111111113</v>
      </c>
      <c r="I68" s="159">
        <v>129</v>
      </c>
      <c r="J68" s="157">
        <v>155</v>
      </c>
      <c r="K68" s="258">
        <v>3.5127314814814813E-2</v>
      </c>
      <c r="L68" s="11"/>
      <c r="M68" s="50"/>
      <c r="N68" s="11"/>
      <c r="O68" s="50"/>
      <c r="P68" s="161"/>
      <c r="Q68" s="157"/>
      <c r="R68" s="11"/>
      <c r="S68" s="223"/>
      <c r="T68" s="26"/>
      <c r="U68" s="53"/>
      <c r="V68" s="54"/>
      <c r="W68" s="11"/>
      <c r="X68" s="50"/>
      <c r="Y68" s="161"/>
      <c r="Z68" s="157"/>
      <c r="AA68" s="263"/>
      <c r="AB68" s="11"/>
      <c r="AC68" s="11"/>
      <c r="AD68" s="50"/>
      <c r="AE68" s="161"/>
      <c r="AF68" s="157"/>
      <c r="AG68" s="263"/>
      <c r="AH68" s="13">
        <f t="shared" si="0"/>
        <v>10.29</v>
      </c>
      <c r="AI68" s="87">
        <f t="shared" si="1"/>
        <v>10</v>
      </c>
      <c r="AJ68" s="27">
        <f t="shared" si="2"/>
        <v>0.28999999999999915</v>
      </c>
      <c r="AK68" s="63">
        <f t="shared" si="3"/>
        <v>3.5127314814814813E-2</v>
      </c>
      <c r="AL68" s="59"/>
      <c r="AM68" s="51"/>
      <c r="AN68" s="3"/>
      <c r="AO68" s="9">
        <f>$AN$2-AN68</f>
        <v>79.3</v>
      </c>
      <c r="AQ68" s="9">
        <f>$AP$2-AP68</f>
        <v>94</v>
      </c>
      <c r="AS68" s="9">
        <f>$AR$2-AR68</f>
        <v>97</v>
      </c>
      <c r="AU68" s="9">
        <f>$AT$2-AT68</f>
        <v>99</v>
      </c>
      <c r="AV68"/>
      <c r="AW68" s="9">
        <f>$AV$2-AV68</f>
        <v>58</v>
      </c>
      <c r="AY68" s="9">
        <f>$AX$2-AX68</f>
        <v>58.5</v>
      </c>
      <c r="AZ68"/>
      <c r="BA68" s="9">
        <f>$AZ$2-AZ68</f>
        <v>41</v>
      </c>
      <c r="BB68"/>
      <c r="BC68" s="9">
        <f>$BB$2-BB68</f>
        <v>41</v>
      </c>
      <c r="BD68"/>
      <c r="BE68" s="9">
        <f>$BD$2-BD68</f>
        <v>29</v>
      </c>
      <c r="BG68" s="37">
        <f>$BF$2-BF68</f>
        <v>29</v>
      </c>
    </row>
    <row r="69" spans="1:59" x14ac:dyDescent="0.25">
      <c r="A69" s="10"/>
      <c r="B69" s="1" t="s">
        <v>24</v>
      </c>
      <c r="C69" s="81">
        <v>43123</v>
      </c>
      <c r="D69" s="81"/>
      <c r="E69" s="3">
        <v>10</v>
      </c>
      <c r="F69" s="54">
        <v>11.27</v>
      </c>
      <c r="G69" s="2"/>
      <c r="H69" s="52">
        <v>0.20486111111111113</v>
      </c>
      <c r="I69" s="159">
        <v>129</v>
      </c>
      <c r="J69" s="157">
        <v>154</v>
      </c>
      <c r="K69" s="258">
        <v>3.8518518518518521E-2</v>
      </c>
      <c r="L69" s="11"/>
      <c r="M69" s="50"/>
      <c r="N69" s="51"/>
      <c r="O69" s="52"/>
      <c r="P69" s="161"/>
      <c r="Q69" s="157"/>
      <c r="R69" s="26"/>
      <c r="S69" s="223"/>
      <c r="T69" s="26"/>
      <c r="U69" s="53"/>
      <c r="V69" s="54"/>
      <c r="W69" s="11"/>
      <c r="X69" s="50"/>
      <c r="Y69" s="161"/>
      <c r="Z69" s="157"/>
      <c r="AA69" s="263"/>
      <c r="AB69" s="11"/>
      <c r="AC69" s="51"/>
      <c r="AD69" s="52"/>
      <c r="AE69" s="161"/>
      <c r="AF69" s="157"/>
      <c r="AG69" s="233"/>
      <c r="AH69" s="13">
        <f t="shared" si="0"/>
        <v>11.27</v>
      </c>
      <c r="AI69" s="87">
        <f t="shared" si="1"/>
        <v>10</v>
      </c>
      <c r="AJ69" s="27">
        <f t="shared" si="2"/>
        <v>1.2699999999999996</v>
      </c>
      <c r="AK69" s="63">
        <f t="shared" si="3"/>
        <v>3.8518518518518521E-2</v>
      </c>
      <c r="AL69" s="59"/>
      <c r="AM69" s="51"/>
      <c r="AN69" s="3"/>
      <c r="AV69"/>
      <c r="AZ69"/>
      <c r="BB69"/>
      <c r="BD69"/>
      <c r="BG69" s="37"/>
    </row>
    <row r="70" spans="1:59" x14ac:dyDescent="0.25">
      <c r="A70" s="10">
        <v>4</v>
      </c>
      <c r="B70" s="1" t="s">
        <v>26</v>
      </c>
      <c r="C70" s="81">
        <v>43125</v>
      </c>
      <c r="D70" s="81"/>
      <c r="E70" s="3"/>
      <c r="F70" s="54"/>
      <c r="G70" s="51"/>
      <c r="H70" s="52"/>
      <c r="I70" s="161"/>
      <c r="J70" s="157"/>
      <c r="K70" s="258"/>
      <c r="L70" s="11">
        <v>3</v>
      </c>
      <c r="M70" s="50">
        <f>1+1+0.92+0.95</f>
        <v>3.87</v>
      </c>
      <c r="N70" s="2"/>
      <c r="O70" s="52">
        <v>0.21388888888888891</v>
      </c>
      <c r="P70" s="161">
        <v>143</v>
      </c>
      <c r="Q70" s="157">
        <v>142</v>
      </c>
      <c r="R70" s="26">
        <v>1.3819444444444445E-2</v>
      </c>
      <c r="S70" s="223"/>
      <c r="T70" s="26"/>
      <c r="U70" s="53"/>
      <c r="V70" s="54"/>
      <c r="W70" s="51"/>
      <c r="X70" s="52"/>
      <c r="Y70" s="161"/>
      <c r="Z70" s="157"/>
      <c r="AA70" s="233"/>
      <c r="AB70" s="11">
        <v>10</v>
      </c>
      <c r="AC70" s="11"/>
      <c r="AD70" s="52">
        <v>0.16250000000000001</v>
      </c>
      <c r="AE70" s="161">
        <v>184</v>
      </c>
      <c r="AF70" s="157">
        <v>144</v>
      </c>
      <c r="AG70" s="233">
        <v>2.7141203703703706E-2</v>
      </c>
      <c r="AH70" s="13">
        <f t="shared" si="0"/>
        <v>13.870000000000001</v>
      </c>
      <c r="AI70" s="87">
        <f t="shared" si="1"/>
        <v>13</v>
      </c>
      <c r="AJ70" s="27">
        <f t="shared" si="2"/>
        <v>0.87000000000000099</v>
      </c>
      <c r="AK70" s="63">
        <f t="shared" si="3"/>
        <v>4.0960648148148149E-2</v>
      </c>
      <c r="AL70" s="59"/>
      <c r="AM70" s="51"/>
      <c r="AN70" s="3"/>
      <c r="AO70" s="55"/>
      <c r="AP70" s="11"/>
      <c r="AQ70" s="55"/>
      <c r="AR70" s="11"/>
      <c r="AS70" s="55"/>
      <c r="AT70" s="11"/>
      <c r="AU70" s="55"/>
      <c r="AV70" s="11"/>
      <c r="AW70" s="55"/>
      <c r="AX70" s="11"/>
      <c r="AY70" s="55"/>
      <c r="AZ70" s="11"/>
      <c r="BA70" s="55"/>
      <c r="BB70" s="11"/>
      <c r="BC70" s="55"/>
      <c r="BD70" s="11"/>
      <c r="BE70" s="55"/>
      <c r="BF70" s="11"/>
      <c r="BG70" s="37"/>
    </row>
    <row r="71" spans="1:59" x14ac:dyDescent="0.25">
      <c r="A71" s="10"/>
      <c r="B71" s="1" t="s">
        <v>15</v>
      </c>
      <c r="C71" s="81">
        <v>43124</v>
      </c>
      <c r="D71" s="81"/>
      <c r="E71" s="3">
        <v>10</v>
      </c>
      <c r="F71" s="54">
        <v>13.66</v>
      </c>
      <c r="G71" s="2">
        <v>0.20694444444444446</v>
      </c>
      <c r="H71" s="52">
        <v>0.21319444444444444</v>
      </c>
      <c r="I71" s="161">
        <v>143</v>
      </c>
      <c r="J71" s="157">
        <v>157</v>
      </c>
      <c r="K71" s="258">
        <v>4.8460648148148149E-2</v>
      </c>
      <c r="L71" s="11"/>
      <c r="M71" s="50"/>
      <c r="N71" s="2"/>
      <c r="O71" s="52"/>
      <c r="P71" s="161"/>
      <c r="Q71" s="157"/>
      <c r="R71" s="26"/>
      <c r="S71" s="223"/>
      <c r="T71" s="26"/>
      <c r="U71" s="53"/>
      <c r="V71" s="54"/>
      <c r="W71" s="51"/>
      <c r="X71" s="52"/>
      <c r="Y71" s="161"/>
      <c r="Z71" s="157"/>
      <c r="AA71" s="233"/>
      <c r="AB71" s="11"/>
      <c r="AC71" s="11"/>
      <c r="AD71" s="50"/>
      <c r="AE71" s="161"/>
      <c r="AF71" s="157"/>
      <c r="AG71" s="263"/>
      <c r="AH71" s="13">
        <f t="shared" si="0"/>
        <v>13.66</v>
      </c>
      <c r="AI71" s="87">
        <f t="shared" si="1"/>
        <v>10</v>
      </c>
      <c r="AJ71" s="27">
        <f t="shared" si="2"/>
        <v>3.66</v>
      </c>
      <c r="AK71" s="63">
        <f t="shared" si="3"/>
        <v>4.8460648148148149E-2</v>
      </c>
      <c r="AL71" s="59"/>
      <c r="AM71" s="51"/>
      <c r="AN71" s="3"/>
      <c r="AO71" s="55"/>
      <c r="AP71" s="11"/>
      <c r="AQ71" s="55"/>
      <c r="AR71" s="11"/>
      <c r="AS71" s="55"/>
      <c r="AT71" s="11"/>
      <c r="AU71" s="55"/>
      <c r="AV71" s="11"/>
      <c r="AW71" s="55"/>
      <c r="AX71" s="11"/>
      <c r="AY71" s="55"/>
      <c r="AZ71" s="11"/>
      <c r="BA71" s="55"/>
      <c r="BB71" s="11"/>
      <c r="BC71" s="55"/>
      <c r="BD71" s="11"/>
      <c r="BE71" s="55"/>
      <c r="BF71" s="11"/>
      <c r="BG71" s="37"/>
    </row>
    <row r="72" spans="1:59" x14ac:dyDescent="0.25">
      <c r="A72" s="10"/>
      <c r="B72" s="1" t="s">
        <v>29</v>
      </c>
      <c r="C72" s="81">
        <v>43126</v>
      </c>
      <c r="D72" s="81"/>
      <c r="E72" s="3">
        <v>10</v>
      </c>
      <c r="F72" s="54">
        <v>21.25</v>
      </c>
      <c r="G72" s="2">
        <v>0.20694444444444446</v>
      </c>
      <c r="H72" s="52">
        <v>0.20694444444444446</v>
      </c>
      <c r="I72" s="161">
        <v>143</v>
      </c>
      <c r="J72" s="157">
        <v>156</v>
      </c>
      <c r="K72" s="258">
        <v>8.082175925925926E-2</v>
      </c>
      <c r="L72" s="11"/>
      <c r="M72" s="50"/>
      <c r="N72" s="2"/>
      <c r="O72" s="52"/>
      <c r="P72" s="161"/>
      <c r="Q72" s="157"/>
      <c r="R72" s="26"/>
      <c r="S72" s="223"/>
      <c r="T72" s="26"/>
      <c r="U72" s="53"/>
      <c r="V72" s="54"/>
      <c r="W72" s="51"/>
      <c r="X72" s="52"/>
      <c r="Y72" s="161"/>
      <c r="Z72" s="157"/>
      <c r="AA72" s="233"/>
      <c r="AB72" s="11"/>
      <c r="AC72" s="11"/>
      <c r="AD72" s="50"/>
      <c r="AE72" s="161"/>
      <c r="AF72" s="157"/>
      <c r="AG72" s="263"/>
      <c r="AH72" s="13">
        <f t="shared" si="0"/>
        <v>21.25</v>
      </c>
      <c r="AI72" s="87">
        <f t="shared" si="1"/>
        <v>10</v>
      </c>
      <c r="AJ72" s="27">
        <f t="shared" si="2"/>
        <v>11.25</v>
      </c>
      <c r="AK72" s="63">
        <f t="shared" si="3"/>
        <v>8.082175925925926E-2</v>
      </c>
      <c r="AL72" s="59"/>
      <c r="AM72" s="51"/>
      <c r="AN72" s="3"/>
      <c r="AO72" s="55"/>
      <c r="AP72" s="11"/>
      <c r="AQ72" s="55"/>
      <c r="AR72" s="11"/>
      <c r="AS72" s="55"/>
      <c r="AT72" s="11"/>
      <c r="AU72" s="55"/>
      <c r="AV72" s="11"/>
      <c r="AW72" s="55"/>
      <c r="AX72" s="11"/>
      <c r="AY72" s="55"/>
      <c r="AZ72" s="11"/>
      <c r="BA72" s="55"/>
      <c r="BB72" s="11"/>
      <c r="BC72" s="55"/>
      <c r="BD72" s="11"/>
      <c r="BE72" s="55"/>
      <c r="BF72" s="11"/>
      <c r="BG72" s="37"/>
    </row>
    <row r="73" spans="1:59" x14ac:dyDescent="0.25">
      <c r="A73" s="56"/>
      <c r="B73" s="17" t="s">
        <v>27</v>
      </c>
      <c r="C73" s="85">
        <v>43128</v>
      </c>
      <c r="D73" s="85" t="s">
        <v>433</v>
      </c>
      <c r="E73" s="19">
        <v>24</v>
      </c>
      <c r="F73" s="42">
        <v>42.65</v>
      </c>
      <c r="G73" s="21">
        <v>0.20694444444444446</v>
      </c>
      <c r="H73" s="22">
        <v>0.19930555555555554</v>
      </c>
      <c r="I73" s="160">
        <v>143</v>
      </c>
      <c r="J73" s="156">
        <v>152</v>
      </c>
      <c r="K73" s="259">
        <v>0.14177083333333332</v>
      </c>
      <c r="L73" s="18"/>
      <c r="M73" s="20"/>
      <c r="N73" s="18"/>
      <c r="O73" s="20"/>
      <c r="P73" s="160"/>
      <c r="Q73" s="156"/>
      <c r="R73" s="18"/>
      <c r="S73" s="224"/>
      <c r="T73" s="84"/>
      <c r="U73" s="31"/>
      <c r="V73" s="42"/>
      <c r="W73" s="21"/>
      <c r="X73" s="22"/>
      <c r="Y73" s="160"/>
      <c r="Z73" s="156"/>
      <c r="AA73" s="266"/>
      <c r="AB73" s="18"/>
      <c r="AC73" s="18"/>
      <c r="AD73" s="20"/>
      <c r="AE73" s="160"/>
      <c r="AF73" s="156"/>
      <c r="AG73" s="266"/>
      <c r="AH73" s="20">
        <f t="shared" si="0"/>
        <v>42.65</v>
      </c>
      <c r="AI73" s="88">
        <f t="shared" si="1"/>
        <v>24</v>
      </c>
      <c r="AJ73" s="34">
        <f t="shared" si="2"/>
        <v>18.649999999999999</v>
      </c>
      <c r="AK73" s="58">
        <f t="shared" si="3"/>
        <v>0.14177083333333332</v>
      </c>
      <c r="AL73" s="57">
        <f>SUM(AH68:AH73)</f>
        <v>112.99000000000001</v>
      </c>
      <c r="AM73" s="21">
        <f>SUM(AK68:AK73)</f>
        <v>0.38565972222222222</v>
      </c>
      <c r="AN73" s="19"/>
      <c r="AO73" s="36"/>
      <c r="AP73" s="18"/>
      <c r="AQ73" s="36"/>
      <c r="AR73" s="18"/>
      <c r="AS73" s="36"/>
      <c r="AT73" s="18"/>
      <c r="AU73" s="36"/>
      <c r="AV73" s="18"/>
      <c r="AW73" s="36"/>
      <c r="AX73" s="18"/>
      <c r="AY73" s="36"/>
      <c r="AZ73" s="18"/>
      <c r="BA73" s="36"/>
      <c r="BB73" s="18"/>
      <c r="BC73" s="36"/>
      <c r="BD73" s="18"/>
      <c r="BE73" s="36"/>
      <c r="BF73" s="18"/>
      <c r="BG73" s="38"/>
    </row>
    <row r="74" spans="1:59" x14ac:dyDescent="0.25">
      <c r="A74" s="10"/>
      <c r="B74" s="1" t="s">
        <v>0</v>
      </c>
      <c r="C74" s="81">
        <v>43129</v>
      </c>
      <c r="D74" s="81"/>
      <c r="E74" s="3">
        <v>10</v>
      </c>
      <c r="F74" s="54">
        <v>10.11</v>
      </c>
      <c r="G74" s="2"/>
      <c r="H74" s="52">
        <v>0.21180555555555555</v>
      </c>
      <c r="I74" s="159">
        <v>129</v>
      </c>
      <c r="J74" s="157">
        <v>157</v>
      </c>
      <c r="K74" s="258">
        <v>3.5659722222222225E-2</v>
      </c>
      <c r="L74" s="11"/>
      <c r="M74" s="50"/>
      <c r="N74" s="51"/>
      <c r="O74" s="52"/>
      <c r="P74" s="161"/>
      <c r="Q74" s="157"/>
      <c r="R74" s="26"/>
      <c r="S74" s="223"/>
      <c r="T74" s="26"/>
      <c r="U74" s="53"/>
      <c r="V74" s="54"/>
      <c r="W74" s="11"/>
      <c r="X74" s="50"/>
      <c r="Y74" s="161"/>
      <c r="Z74" s="157"/>
      <c r="AA74" s="263"/>
      <c r="AB74" s="11"/>
      <c r="AC74" s="11"/>
      <c r="AD74" s="52"/>
      <c r="AE74" s="161"/>
      <c r="AF74" s="157"/>
      <c r="AG74" s="233"/>
      <c r="AH74" s="13">
        <f t="shared" si="0"/>
        <v>10.11</v>
      </c>
      <c r="AI74" s="87">
        <f t="shared" si="1"/>
        <v>10</v>
      </c>
      <c r="AJ74" s="27">
        <f t="shared" si="2"/>
        <v>0.10999999999999943</v>
      </c>
      <c r="AK74" s="63">
        <f t="shared" si="3"/>
        <v>3.5659722222222225E-2</v>
      </c>
      <c r="AL74" s="59"/>
      <c r="AM74" s="51"/>
      <c r="AN74" s="3"/>
      <c r="AO74" s="9">
        <f>$AN$2-AN74</f>
        <v>79.3</v>
      </c>
      <c r="AQ74" s="9">
        <f>$AP$2-AP74</f>
        <v>94</v>
      </c>
      <c r="AS74" s="9">
        <f>$AR$2-AR74</f>
        <v>97</v>
      </c>
      <c r="AU74" s="9">
        <f>$AT$2-AT74</f>
        <v>99</v>
      </c>
      <c r="AV74"/>
      <c r="AW74" s="9">
        <f>$AV$2-AV74</f>
        <v>58</v>
      </c>
      <c r="AY74" s="9">
        <f>$AX$2-AX74</f>
        <v>58.5</v>
      </c>
      <c r="AZ74"/>
      <c r="BA74" s="9">
        <f>$AZ$2-AZ74</f>
        <v>41</v>
      </c>
      <c r="BB74"/>
      <c r="BC74" s="9">
        <f>$BB$2-BB74</f>
        <v>41</v>
      </c>
      <c r="BD74"/>
      <c r="BE74" s="9">
        <f>$BD$2-BD74</f>
        <v>29</v>
      </c>
      <c r="BG74" s="37">
        <f>$BF$2-BF74</f>
        <v>29</v>
      </c>
    </row>
    <row r="75" spans="1:59" x14ac:dyDescent="0.25">
      <c r="A75" s="10"/>
      <c r="B75" s="1" t="s">
        <v>15</v>
      </c>
      <c r="C75" s="81">
        <v>43131</v>
      </c>
      <c r="D75" s="81"/>
      <c r="E75" s="3"/>
      <c r="F75" s="54"/>
      <c r="G75" s="2"/>
      <c r="H75" s="52"/>
      <c r="I75" s="161"/>
      <c r="J75" s="157"/>
      <c r="K75" s="258"/>
      <c r="L75" s="11">
        <v>6</v>
      </c>
      <c r="M75" s="50">
        <v>6.6</v>
      </c>
      <c r="N75" s="11"/>
      <c r="O75" s="52">
        <v>0.20555555555555557</v>
      </c>
      <c r="P75" s="161">
        <v>143</v>
      </c>
      <c r="Q75" s="157">
        <v>146</v>
      </c>
      <c r="R75" s="26">
        <v>2.2673611111111113E-2</v>
      </c>
      <c r="S75" s="223"/>
      <c r="T75" s="26"/>
      <c r="U75" s="53"/>
      <c r="V75" s="54"/>
      <c r="W75" s="11"/>
      <c r="X75" s="50"/>
      <c r="Y75" s="161"/>
      <c r="Z75" s="157"/>
      <c r="AA75" s="263"/>
      <c r="AB75" s="11">
        <v>9</v>
      </c>
      <c r="AC75" s="2">
        <v>0.16388888888888889</v>
      </c>
      <c r="AD75" s="52">
        <v>0.16805555555555554</v>
      </c>
      <c r="AE75" s="161">
        <v>170</v>
      </c>
      <c r="AF75" s="157">
        <v>157</v>
      </c>
      <c r="AG75" s="233">
        <v>2.5208333333333333E-2</v>
      </c>
      <c r="AH75" s="13">
        <f t="shared" si="0"/>
        <v>15.6</v>
      </c>
      <c r="AI75" s="87">
        <f t="shared" si="1"/>
        <v>15</v>
      </c>
      <c r="AJ75" s="27">
        <f t="shared" si="2"/>
        <v>0.59999999999999964</v>
      </c>
      <c r="AK75" s="63">
        <f t="shared" si="3"/>
        <v>4.7881944444444449E-2</v>
      </c>
      <c r="AL75" s="59"/>
      <c r="AM75" s="51"/>
      <c r="AN75" s="3"/>
      <c r="AV75"/>
      <c r="AZ75"/>
      <c r="BB75"/>
      <c r="BD75"/>
      <c r="BG75" s="37"/>
    </row>
    <row r="76" spans="1:59" x14ac:dyDescent="0.25">
      <c r="A76" s="10">
        <v>5</v>
      </c>
      <c r="B76" s="1" t="s">
        <v>24</v>
      </c>
      <c r="C76" s="81">
        <v>43130</v>
      </c>
      <c r="D76" s="81"/>
      <c r="E76" s="3">
        <v>10</v>
      </c>
      <c r="F76" s="54">
        <v>18.75</v>
      </c>
      <c r="G76" s="51"/>
      <c r="H76" s="52">
        <v>0.20416666666666669</v>
      </c>
      <c r="I76" s="159">
        <v>129</v>
      </c>
      <c r="J76" s="157">
        <v>144</v>
      </c>
      <c r="K76" s="258">
        <v>6.3738425925925921E-2</v>
      </c>
      <c r="L76" s="11"/>
      <c r="M76" s="50"/>
      <c r="N76" s="2"/>
      <c r="O76" s="52"/>
      <c r="P76" s="161"/>
      <c r="Q76" s="157"/>
      <c r="R76" s="26"/>
      <c r="S76" s="223"/>
      <c r="T76" s="26"/>
      <c r="U76" s="53"/>
      <c r="V76" s="54"/>
      <c r="W76" s="51"/>
      <c r="X76" s="52"/>
      <c r="Y76" s="161"/>
      <c r="Z76" s="157"/>
      <c r="AA76" s="233"/>
      <c r="AB76" s="11"/>
      <c r="AC76" s="11"/>
      <c r="AD76" s="52"/>
      <c r="AE76" s="161"/>
      <c r="AF76" s="157"/>
      <c r="AG76" s="263"/>
      <c r="AH76" s="13">
        <f t="shared" si="0"/>
        <v>18.75</v>
      </c>
      <c r="AI76" s="87">
        <f t="shared" si="1"/>
        <v>10</v>
      </c>
      <c r="AJ76" s="27">
        <f t="shared" si="2"/>
        <v>8.75</v>
      </c>
      <c r="AK76" s="63">
        <f t="shared" si="3"/>
        <v>6.3738425925925921E-2</v>
      </c>
      <c r="AL76" s="59"/>
      <c r="AM76" s="51"/>
      <c r="AN76" s="3"/>
      <c r="AO76" s="55"/>
      <c r="AP76" s="11"/>
      <c r="AQ76" s="55"/>
      <c r="AR76" s="11"/>
      <c r="AS76" s="55"/>
      <c r="AT76" s="11"/>
      <c r="AU76" s="55"/>
      <c r="AV76" s="11"/>
      <c r="AW76" s="55"/>
      <c r="AX76" s="11"/>
      <c r="AY76" s="55"/>
      <c r="AZ76" s="11"/>
      <c r="BA76" s="55"/>
      <c r="BB76" s="11"/>
      <c r="BC76" s="55"/>
      <c r="BD76" s="11"/>
      <c r="BE76" s="55"/>
      <c r="BF76" s="11"/>
      <c r="BG76" s="37"/>
    </row>
    <row r="77" spans="1:59" x14ac:dyDescent="0.25">
      <c r="A77" s="10"/>
      <c r="B77" s="1" t="s">
        <v>26</v>
      </c>
      <c r="C77" s="81">
        <v>43132</v>
      </c>
      <c r="D77" s="81"/>
      <c r="E77" s="3">
        <v>12</v>
      </c>
      <c r="F77" s="54">
        <v>16.11</v>
      </c>
      <c r="G77" s="2">
        <v>0.20694444444444446</v>
      </c>
      <c r="H77" s="52">
        <v>0.20069444444444443</v>
      </c>
      <c r="I77" s="161">
        <v>143</v>
      </c>
      <c r="J77" s="157">
        <v>156</v>
      </c>
      <c r="K77" s="258">
        <v>5.3946759259259257E-2</v>
      </c>
      <c r="L77" s="11"/>
      <c r="M77" s="50"/>
      <c r="N77" s="2"/>
      <c r="O77" s="52"/>
      <c r="P77" s="161"/>
      <c r="Q77" s="157"/>
      <c r="R77" s="26"/>
      <c r="S77" s="223"/>
      <c r="T77" s="26"/>
      <c r="U77" s="53"/>
      <c r="V77" s="54"/>
      <c r="W77" s="51"/>
      <c r="X77" s="52"/>
      <c r="Y77" s="161"/>
      <c r="Z77" s="157"/>
      <c r="AA77" s="233"/>
      <c r="AB77" s="11"/>
      <c r="AC77" s="11"/>
      <c r="AD77" s="52"/>
      <c r="AE77" s="161"/>
      <c r="AF77" s="157"/>
      <c r="AG77" s="263"/>
      <c r="AH77" s="13">
        <f t="shared" si="0"/>
        <v>16.11</v>
      </c>
      <c r="AI77" s="87">
        <f t="shared" si="1"/>
        <v>12</v>
      </c>
      <c r="AJ77" s="27">
        <f t="shared" si="2"/>
        <v>4.1099999999999994</v>
      </c>
      <c r="AK77" s="63">
        <f t="shared" si="3"/>
        <v>5.3946759259259257E-2</v>
      </c>
      <c r="AL77" s="59"/>
      <c r="AM77" s="51"/>
      <c r="AN77" s="3"/>
      <c r="AO77" s="55"/>
      <c r="AP77" s="11"/>
      <c r="AQ77" s="55"/>
      <c r="AR77" s="11"/>
      <c r="AS77" s="55"/>
      <c r="AT77" s="11"/>
      <c r="AU77" s="55"/>
      <c r="AV77" s="11"/>
      <c r="AW77" s="55"/>
      <c r="AX77" s="11"/>
      <c r="AY77" s="55"/>
      <c r="AZ77" s="11"/>
      <c r="BA77" s="55"/>
      <c r="BB77" s="11"/>
      <c r="BC77" s="55"/>
      <c r="BD77" s="11"/>
      <c r="BE77" s="55"/>
      <c r="BF77" s="11"/>
      <c r="BG77" s="37"/>
    </row>
    <row r="78" spans="1:59" x14ac:dyDescent="0.25">
      <c r="A78" s="10"/>
      <c r="B78" s="1" t="s">
        <v>29</v>
      </c>
      <c r="C78" s="81">
        <v>43133</v>
      </c>
      <c r="D78" s="81"/>
      <c r="E78" s="3">
        <v>21</v>
      </c>
      <c r="F78" s="54">
        <f>23.56-5</f>
        <v>18.559999999999999</v>
      </c>
      <c r="G78" s="2"/>
      <c r="H78" s="52">
        <v>0.19652777777777777</v>
      </c>
      <c r="I78" s="161">
        <v>143</v>
      </c>
      <c r="J78" s="157"/>
      <c r="K78" s="258">
        <v>7.7071759259259257E-2</v>
      </c>
      <c r="L78" s="11"/>
      <c r="M78" s="50"/>
      <c r="N78" s="2"/>
      <c r="O78" s="52"/>
      <c r="P78" s="161"/>
      <c r="Q78" s="157"/>
      <c r="R78" s="26"/>
      <c r="S78" s="223"/>
      <c r="T78" s="26"/>
      <c r="U78" s="53"/>
      <c r="V78" s="54"/>
      <c r="W78" s="51"/>
      <c r="X78" s="52"/>
      <c r="Y78" s="161"/>
      <c r="Z78" s="157"/>
      <c r="AA78" s="233"/>
      <c r="AB78" s="161"/>
      <c r="AC78" s="161"/>
      <c r="AD78" s="52"/>
      <c r="AE78" s="161"/>
      <c r="AF78" s="157"/>
      <c r="AG78" s="233"/>
      <c r="AH78" s="13">
        <f t="shared" si="0"/>
        <v>18.559999999999999</v>
      </c>
      <c r="AI78" s="87">
        <f t="shared" si="1"/>
        <v>21</v>
      </c>
      <c r="AJ78" s="27">
        <f t="shared" si="2"/>
        <v>-2.4400000000000013</v>
      </c>
      <c r="AK78" s="63">
        <f t="shared" si="3"/>
        <v>7.7071759259259257E-2</v>
      </c>
      <c r="AL78" s="59"/>
      <c r="AM78" s="51"/>
      <c r="AN78" s="3"/>
      <c r="AO78" s="55"/>
      <c r="AP78" s="11"/>
      <c r="AQ78" s="55"/>
      <c r="AR78" s="11"/>
      <c r="AS78" s="55"/>
      <c r="AT78" s="11"/>
      <c r="AU78" s="55"/>
      <c r="AV78" s="11"/>
      <c r="AW78" s="55"/>
      <c r="AX78" s="11"/>
      <c r="AY78" s="55"/>
      <c r="AZ78" s="11"/>
      <c r="BA78" s="55"/>
      <c r="BB78" s="11"/>
      <c r="BC78" s="55"/>
      <c r="BD78" s="11"/>
      <c r="BE78" s="55"/>
      <c r="BF78" s="11"/>
      <c r="BG78" s="37"/>
    </row>
    <row r="79" spans="1:59" x14ac:dyDescent="0.25">
      <c r="A79" s="56"/>
      <c r="B79" s="17" t="s">
        <v>18</v>
      </c>
      <c r="C79" s="85">
        <v>43134</v>
      </c>
      <c r="D79" s="85" t="s">
        <v>435</v>
      </c>
      <c r="E79" s="19">
        <v>32</v>
      </c>
      <c r="F79" s="42">
        <v>42.11</v>
      </c>
      <c r="G79" s="21">
        <v>0.20694444444444446</v>
      </c>
      <c r="H79" s="22">
        <v>0.1875</v>
      </c>
      <c r="I79" s="160">
        <v>143</v>
      </c>
      <c r="J79" s="156"/>
      <c r="K79" s="259">
        <v>0.13158564814814813</v>
      </c>
      <c r="L79" s="18"/>
      <c r="M79" s="20"/>
      <c r="N79" s="18"/>
      <c r="O79" s="20"/>
      <c r="P79" s="160"/>
      <c r="Q79" s="156"/>
      <c r="R79" s="18"/>
      <c r="S79" s="224"/>
      <c r="T79" s="84"/>
      <c r="U79" s="31"/>
      <c r="V79" s="42"/>
      <c r="W79" s="21"/>
      <c r="X79" s="22"/>
      <c r="Y79" s="160"/>
      <c r="Z79" s="156"/>
      <c r="AA79" s="265"/>
      <c r="AB79" s="18"/>
      <c r="AC79" s="18"/>
      <c r="AD79" s="20"/>
      <c r="AE79" s="160"/>
      <c r="AF79" s="156"/>
      <c r="AG79" s="266"/>
      <c r="AH79" s="20">
        <f t="shared" ref="AH79:AH95" si="4">F79+M79+V79+AB79+S79</f>
        <v>42.11</v>
      </c>
      <c r="AI79" s="88">
        <f t="shared" ref="AI79:AI96" si="5">E79+L79+V79+AB79+S79</f>
        <v>32</v>
      </c>
      <c r="AJ79" s="34">
        <f t="shared" si="2"/>
        <v>10.11</v>
      </c>
      <c r="AK79" s="58">
        <f t="shared" ref="AK79:AK96" si="6">K79+R79+AA79+AG79+T79</f>
        <v>0.13158564814814813</v>
      </c>
      <c r="AL79" s="57">
        <f>SUM(AH74:AH79)</f>
        <v>121.24</v>
      </c>
      <c r="AM79" s="21">
        <f>SUM(AK74:AK79)</f>
        <v>0.40988425925925931</v>
      </c>
      <c r="AN79" s="19"/>
      <c r="AO79" s="36"/>
      <c r="AP79" s="18"/>
      <c r="AQ79" s="36"/>
      <c r="AR79" s="18"/>
      <c r="AS79" s="36"/>
      <c r="AT79" s="18"/>
      <c r="AU79" s="36"/>
      <c r="AV79" s="18"/>
      <c r="AW79" s="36"/>
      <c r="AX79" s="18"/>
      <c r="AY79" s="36"/>
      <c r="AZ79" s="18"/>
      <c r="BA79" s="36"/>
      <c r="BB79" s="18"/>
      <c r="BC79" s="36"/>
      <c r="BD79" s="18"/>
      <c r="BE79" s="36"/>
      <c r="BF79" s="18"/>
      <c r="BG79" s="38"/>
    </row>
    <row r="80" spans="1:59" x14ac:dyDescent="0.25">
      <c r="A80" s="10"/>
      <c r="B80" s="1" t="s">
        <v>0</v>
      </c>
      <c r="C80" s="81">
        <v>43136</v>
      </c>
      <c r="D80" s="81"/>
      <c r="E80" s="3">
        <v>10</v>
      </c>
      <c r="F80" s="54">
        <v>10.199999999999999</v>
      </c>
      <c r="G80" s="2"/>
      <c r="H80" s="52">
        <v>0.2076388888888889</v>
      </c>
      <c r="I80" s="159">
        <v>129</v>
      </c>
      <c r="J80" s="157">
        <v>154</v>
      </c>
      <c r="K80" s="258">
        <v>3.532407407407407E-2</v>
      </c>
      <c r="L80" s="11"/>
      <c r="M80" s="50"/>
      <c r="N80" s="11"/>
      <c r="O80" s="50"/>
      <c r="P80" s="161"/>
      <c r="Q80" s="157"/>
      <c r="R80" s="11"/>
      <c r="S80" s="223"/>
      <c r="T80" s="26"/>
      <c r="U80" s="53"/>
      <c r="V80" s="54"/>
      <c r="W80" s="51"/>
      <c r="X80" s="52"/>
      <c r="Y80" s="161"/>
      <c r="Z80" s="157"/>
      <c r="AA80" s="233"/>
      <c r="AB80" s="11"/>
      <c r="AC80" s="11"/>
      <c r="AD80" s="50"/>
      <c r="AE80" s="161"/>
      <c r="AF80" s="157"/>
      <c r="AG80" s="263"/>
      <c r="AH80" s="188">
        <f t="shared" si="4"/>
        <v>10.199999999999999</v>
      </c>
      <c r="AI80" s="87">
        <f t="shared" si="5"/>
        <v>10</v>
      </c>
      <c r="AJ80" s="27">
        <f t="shared" si="2"/>
        <v>0.19999999999999929</v>
      </c>
      <c r="AK80" s="63">
        <f t="shared" si="6"/>
        <v>3.532407407407407E-2</v>
      </c>
      <c r="AL80" s="59"/>
      <c r="AM80" s="51"/>
      <c r="AN80" s="3"/>
      <c r="AO80" s="9">
        <f>$AN$2-AN80</f>
        <v>79.3</v>
      </c>
      <c r="AQ80" s="9">
        <f>$AP$2-AP80</f>
        <v>94</v>
      </c>
      <c r="AS80" s="9">
        <f>$AR$2-AR80</f>
        <v>97</v>
      </c>
      <c r="AU80" s="9">
        <f>$AT$2-AT80</f>
        <v>99</v>
      </c>
      <c r="AV80"/>
      <c r="AW80" s="9">
        <f>$AV$2-AV80</f>
        <v>58</v>
      </c>
      <c r="AY80" s="9">
        <f>$AX$2-AX80</f>
        <v>58.5</v>
      </c>
      <c r="AZ80"/>
      <c r="BA80" s="9">
        <f>$AZ$2-AZ80</f>
        <v>41</v>
      </c>
      <c r="BB80"/>
      <c r="BC80" s="9">
        <f>$BB$2-BB80</f>
        <v>41</v>
      </c>
      <c r="BD80"/>
      <c r="BE80" s="9">
        <f>$BD$2-BD80</f>
        <v>29</v>
      </c>
      <c r="BG80" s="37">
        <f>$BF$2-BF80</f>
        <v>29</v>
      </c>
    </row>
    <row r="81" spans="1:59" x14ac:dyDescent="0.25">
      <c r="A81" s="10"/>
      <c r="B81" s="1" t="s">
        <v>24</v>
      </c>
      <c r="C81" s="81">
        <v>43137</v>
      </c>
      <c r="D81" s="81"/>
      <c r="E81" s="3">
        <v>13</v>
      </c>
      <c r="F81" s="54">
        <v>13.18</v>
      </c>
      <c r="G81" s="2"/>
      <c r="H81" s="52">
        <v>0.18472222222222223</v>
      </c>
      <c r="I81" s="161"/>
      <c r="J81" s="157">
        <v>158</v>
      </c>
      <c r="K81" s="258"/>
      <c r="L81" s="11"/>
      <c r="M81" s="50"/>
      <c r="N81" s="11"/>
      <c r="O81" s="50"/>
      <c r="P81" s="161"/>
      <c r="Q81" s="157"/>
      <c r="R81" s="26"/>
      <c r="S81" s="223"/>
      <c r="T81" s="26"/>
      <c r="U81" s="53"/>
      <c r="V81" s="54"/>
      <c r="W81" s="51"/>
      <c r="X81" s="52"/>
      <c r="Y81" s="161"/>
      <c r="Z81" s="157"/>
      <c r="AA81" s="233"/>
      <c r="AB81" s="11"/>
      <c r="AC81" s="51"/>
      <c r="AD81" s="52"/>
      <c r="AE81" s="161"/>
      <c r="AF81" s="157"/>
      <c r="AG81" s="233"/>
      <c r="AH81" s="50">
        <f t="shared" si="4"/>
        <v>13.18</v>
      </c>
      <c r="AI81" s="87">
        <f t="shared" si="5"/>
        <v>13</v>
      </c>
      <c r="AJ81" s="27">
        <f t="shared" si="2"/>
        <v>0.17999999999999972</v>
      </c>
      <c r="AK81" s="63">
        <f t="shared" si="6"/>
        <v>0</v>
      </c>
      <c r="AL81" s="59"/>
      <c r="AM81" s="51"/>
      <c r="AN81" s="3"/>
      <c r="AV81"/>
      <c r="AZ81"/>
      <c r="BB81"/>
      <c r="BD81"/>
      <c r="BG81" s="37"/>
    </row>
    <row r="82" spans="1:59" x14ac:dyDescent="0.25">
      <c r="A82" s="10">
        <v>6</v>
      </c>
      <c r="B82" s="1" t="s">
        <v>15</v>
      </c>
      <c r="C82" s="81">
        <v>43138</v>
      </c>
      <c r="D82" s="81"/>
      <c r="E82" s="3">
        <v>10</v>
      </c>
      <c r="F82" s="54">
        <v>12.34</v>
      </c>
      <c r="G82" s="51"/>
      <c r="H82" s="52">
        <v>0.20277777777777781</v>
      </c>
      <c r="I82" s="159">
        <v>129</v>
      </c>
      <c r="J82" s="157">
        <v>145</v>
      </c>
      <c r="K82" s="258">
        <v>4.1747685185185186E-2</v>
      </c>
      <c r="L82" s="11"/>
      <c r="M82" s="50"/>
      <c r="N82" s="2"/>
      <c r="O82" s="52"/>
      <c r="P82" s="161"/>
      <c r="Q82" s="157"/>
      <c r="R82" s="26"/>
      <c r="S82" s="223"/>
      <c r="T82" s="26"/>
      <c r="U82" s="53"/>
      <c r="V82" s="54"/>
      <c r="W82" s="51"/>
      <c r="X82" s="52"/>
      <c r="Y82" s="161"/>
      <c r="Z82" s="157"/>
      <c r="AA82" s="233"/>
      <c r="AB82" s="11"/>
      <c r="AC82" s="11"/>
      <c r="AD82" s="50"/>
      <c r="AE82" s="161"/>
      <c r="AF82" s="157"/>
      <c r="AG82" s="263"/>
      <c r="AH82" s="50">
        <f t="shared" si="4"/>
        <v>12.34</v>
      </c>
      <c r="AI82" s="87">
        <f t="shared" si="5"/>
        <v>10</v>
      </c>
      <c r="AJ82" s="27">
        <f t="shared" si="2"/>
        <v>2.34</v>
      </c>
      <c r="AK82" s="63">
        <f t="shared" si="6"/>
        <v>4.1747685185185186E-2</v>
      </c>
      <c r="AL82" s="59"/>
      <c r="AM82" s="51"/>
      <c r="AN82" s="3"/>
      <c r="AO82" s="55"/>
      <c r="AP82" s="11"/>
      <c r="AQ82" s="55"/>
      <c r="AR82" s="11"/>
      <c r="AS82" s="55"/>
      <c r="AT82" s="11"/>
      <c r="AU82" s="55"/>
      <c r="AV82" s="11"/>
      <c r="AW82" s="55"/>
      <c r="AX82" s="11"/>
      <c r="AY82" s="55"/>
      <c r="AZ82" s="11"/>
      <c r="BA82" s="55"/>
      <c r="BB82" s="11"/>
      <c r="BC82" s="55"/>
      <c r="BD82" s="11"/>
      <c r="BE82" s="55"/>
      <c r="BF82" s="11"/>
      <c r="BG82" s="37"/>
    </row>
    <row r="83" spans="1:59" x14ac:dyDescent="0.25">
      <c r="A83" s="10"/>
      <c r="B83" s="1" t="s">
        <v>26</v>
      </c>
      <c r="C83" s="81">
        <v>43139</v>
      </c>
      <c r="D83" s="81"/>
      <c r="E83" s="3">
        <v>10</v>
      </c>
      <c r="F83" s="54">
        <v>13.3</v>
      </c>
      <c r="G83" s="2">
        <v>0.20694444444444446</v>
      </c>
      <c r="H83" s="52">
        <v>0.19513888888888889</v>
      </c>
      <c r="I83" s="161">
        <v>143</v>
      </c>
      <c r="J83" s="157">
        <v>151</v>
      </c>
      <c r="K83" s="258">
        <v>4.3333333333333335E-2</v>
      </c>
      <c r="L83" s="11"/>
      <c r="M83" s="50"/>
      <c r="N83" s="2"/>
      <c r="O83" s="52"/>
      <c r="P83" s="161"/>
      <c r="Q83" s="157"/>
      <c r="R83" s="26"/>
      <c r="S83" s="223"/>
      <c r="T83" s="26"/>
      <c r="U83" s="53"/>
      <c r="V83" s="54"/>
      <c r="W83" s="51"/>
      <c r="X83" s="52"/>
      <c r="Y83" s="161"/>
      <c r="Z83" s="157"/>
      <c r="AA83" s="233"/>
      <c r="AB83" s="11"/>
      <c r="AC83" s="11"/>
      <c r="AD83" s="50"/>
      <c r="AE83" s="161"/>
      <c r="AF83" s="157"/>
      <c r="AG83" s="263"/>
      <c r="AH83" s="13">
        <f t="shared" si="4"/>
        <v>13.3</v>
      </c>
      <c r="AI83" s="87">
        <f t="shared" si="5"/>
        <v>10</v>
      </c>
      <c r="AJ83" s="27">
        <f t="shared" si="2"/>
        <v>3.3000000000000007</v>
      </c>
      <c r="AK83" s="63">
        <f t="shared" si="6"/>
        <v>4.3333333333333335E-2</v>
      </c>
      <c r="AL83" s="59"/>
      <c r="AM83" s="51"/>
      <c r="AN83" s="3"/>
      <c r="AO83" s="55"/>
      <c r="AP83" s="11"/>
      <c r="AQ83" s="55"/>
      <c r="AR83" s="11"/>
      <c r="AS83" s="55"/>
      <c r="AT83" s="11"/>
      <c r="AU83" s="55"/>
      <c r="AV83" s="11"/>
      <c r="AW83" s="55"/>
      <c r="AX83" s="11"/>
      <c r="AY83" s="55"/>
      <c r="AZ83" s="11"/>
      <c r="BA83" s="55"/>
      <c r="BB83" s="11"/>
      <c r="BC83" s="55"/>
      <c r="BD83" s="11"/>
      <c r="BE83" s="55"/>
      <c r="BF83" s="11"/>
      <c r="BG83" s="37"/>
    </row>
    <row r="84" spans="1:59" x14ac:dyDescent="0.25">
      <c r="A84" s="10"/>
      <c r="B84" s="1" t="s">
        <v>29</v>
      </c>
      <c r="C84" s="81">
        <v>43140</v>
      </c>
      <c r="D84" s="81"/>
      <c r="E84" s="3">
        <v>16</v>
      </c>
      <c r="F84" s="54">
        <v>24.02</v>
      </c>
      <c r="G84" s="2">
        <v>0.20694444444444446</v>
      </c>
      <c r="H84" s="52">
        <v>0.19097222222222221</v>
      </c>
      <c r="I84" s="161">
        <v>143</v>
      </c>
      <c r="J84" s="157">
        <v>142</v>
      </c>
      <c r="K84" s="258">
        <v>7.6458333333333336E-2</v>
      </c>
      <c r="L84" s="11"/>
      <c r="M84" s="50"/>
      <c r="N84" s="2"/>
      <c r="O84" s="52"/>
      <c r="P84" s="161"/>
      <c r="Q84" s="157"/>
      <c r="R84" s="26"/>
      <c r="S84" s="223"/>
      <c r="T84" s="26"/>
      <c r="U84" s="53"/>
      <c r="V84" s="54"/>
      <c r="W84" s="51"/>
      <c r="X84" s="52"/>
      <c r="Y84" s="161"/>
      <c r="Z84" s="157"/>
      <c r="AA84" s="233"/>
      <c r="AB84" s="11"/>
      <c r="AC84" s="11"/>
      <c r="AD84" s="50"/>
      <c r="AE84" s="161"/>
      <c r="AF84" s="157"/>
      <c r="AG84" s="233"/>
      <c r="AH84" s="50">
        <f t="shared" si="4"/>
        <v>24.02</v>
      </c>
      <c r="AI84" s="87">
        <f t="shared" si="5"/>
        <v>16</v>
      </c>
      <c r="AJ84" s="27">
        <f t="shared" si="2"/>
        <v>8.02</v>
      </c>
      <c r="AK84" s="63">
        <f t="shared" si="6"/>
        <v>7.6458333333333336E-2</v>
      </c>
      <c r="AL84" s="59"/>
      <c r="AM84" s="51"/>
      <c r="AN84" s="3"/>
      <c r="AO84" s="55"/>
      <c r="AP84" s="11"/>
      <c r="AQ84" s="55"/>
      <c r="AR84" s="11"/>
      <c r="AS84" s="55"/>
      <c r="AT84" s="11"/>
      <c r="AU84" s="55"/>
      <c r="AV84" s="11"/>
      <c r="AW84" s="55"/>
      <c r="AX84" s="11"/>
      <c r="AY84" s="55"/>
      <c r="AZ84" s="11"/>
      <c r="BA84" s="55"/>
      <c r="BB84" s="11"/>
      <c r="BC84" s="55"/>
      <c r="BD84" s="11"/>
      <c r="BE84" s="55"/>
      <c r="BF84" s="11"/>
      <c r="BG84" s="37"/>
    </row>
    <row r="85" spans="1:59" x14ac:dyDescent="0.25">
      <c r="A85" s="56"/>
      <c r="B85" s="17" t="s">
        <v>27</v>
      </c>
      <c r="C85" s="85">
        <v>43142</v>
      </c>
      <c r="D85" s="85"/>
      <c r="E85" s="19">
        <v>16</v>
      </c>
      <c r="F85" s="42">
        <v>24.07</v>
      </c>
      <c r="G85" s="21">
        <v>0.20694444444444446</v>
      </c>
      <c r="H85" s="22">
        <v>0.19305555555555554</v>
      </c>
      <c r="I85" s="160">
        <v>143</v>
      </c>
      <c r="J85" s="156">
        <v>155</v>
      </c>
      <c r="K85" s="259">
        <v>7.7326388888888889E-2</v>
      </c>
      <c r="L85" s="18"/>
      <c r="M85" s="20"/>
      <c r="N85" s="18"/>
      <c r="O85" s="20"/>
      <c r="P85" s="160"/>
      <c r="Q85" s="156"/>
      <c r="R85" s="18"/>
      <c r="S85" s="224"/>
      <c r="T85" s="84"/>
      <c r="U85" s="31"/>
      <c r="V85" s="42"/>
      <c r="W85" s="18"/>
      <c r="X85" s="20"/>
      <c r="Y85" s="160"/>
      <c r="Z85" s="156"/>
      <c r="AA85" s="265"/>
      <c r="AB85" s="18"/>
      <c r="AC85" s="18"/>
      <c r="AD85" s="20"/>
      <c r="AE85" s="160"/>
      <c r="AF85" s="156"/>
      <c r="AG85" s="266"/>
      <c r="AH85" s="20">
        <f t="shared" si="4"/>
        <v>24.07</v>
      </c>
      <c r="AI85" s="88">
        <f t="shared" si="5"/>
        <v>16</v>
      </c>
      <c r="AJ85" s="34">
        <f t="shared" si="2"/>
        <v>8.07</v>
      </c>
      <c r="AK85" s="58">
        <f t="shared" si="6"/>
        <v>7.7326388888888889E-2</v>
      </c>
      <c r="AL85" s="57">
        <f>SUM(AH80:AH85)</f>
        <v>97.109999999999985</v>
      </c>
      <c r="AM85" s="21">
        <f>SUM(AK80:AK85)</f>
        <v>0.2741898148148148</v>
      </c>
      <c r="AN85" s="19"/>
      <c r="AO85" s="36"/>
      <c r="AP85" s="18"/>
      <c r="AQ85" s="36"/>
      <c r="AR85" s="18"/>
      <c r="AS85" s="36"/>
      <c r="AT85" s="18"/>
      <c r="AU85" s="36"/>
      <c r="AV85" s="18"/>
      <c r="AW85" s="36"/>
      <c r="AX85" s="18"/>
      <c r="AY85" s="36"/>
      <c r="AZ85" s="18"/>
      <c r="BA85" s="36"/>
      <c r="BB85" s="18"/>
      <c r="BC85" s="36"/>
      <c r="BD85" s="18"/>
      <c r="BE85" s="36"/>
      <c r="BF85" s="18"/>
      <c r="BG85" s="38"/>
    </row>
    <row r="86" spans="1:59" x14ac:dyDescent="0.25">
      <c r="A86" s="10"/>
      <c r="B86" s="1" t="s">
        <v>0</v>
      </c>
      <c r="C86" s="81">
        <v>43143</v>
      </c>
      <c r="D86" s="81"/>
      <c r="E86" s="3">
        <v>10</v>
      </c>
      <c r="F86" s="54">
        <v>10.119999999999999</v>
      </c>
      <c r="G86" s="51"/>
      <c r="H86" s="52">
        <v>0.20347222222222219</v>
      </c>
      <c r="I86" s="159">
        <v>143</v>
      </c>
      <c r="J86" s="157">
        <v>147</v>
      </c>
      <c r="K86" s="258">
        <v>3.4363425925925929E-2</v>
      </c>
      <c r="L86" s="11"/>
      <c r="M86" s="50"/>
      <c r="N86" s="11"/>
      <c r="O86" s="50"/>
      <c r="P86" s="161"/>
      <c r="Q86" s="157"/>
      <c r="R86" s="11"/>
      <c r="S86" s="223"/>
      <c r="T86" s="26"/>
      <c r="U86" s="53"/>
      <c r="V86" s="54"/>
      <c r="W86" s="11"/>
      <c r="X86" s="50"/>
      <c r="Y86" s="161"/>
      <c r="Z86" s="157"/>
      <c r="AA86" s="263"/>
      <c r="AB86" s="11"/>
      <c r="AC86" s="11"/>
      <c r="AD86" s="50"/>
      <c r="AE86" s="161"/>
      <c r="AF86" s="157"/>
      <c r="AG86" s="263"/>
      <c r="AH86" s="188">
        <f t="shared" si="4"/>
        <v>10.119999999999999</v>
      </c>
      <c r="AI86" s="87">
        <f t="shared" si="5"/>
        <v>10</v>
      </c>
      <c r="AJ86" s="27">
        <f t="shared" si="2"/>
        <v>0.11999999999999922</v>
      </c>
      <c r="AK86" s="63">
        <f t="shared" si="6"/>
        <v>3.4363425925925929E-2</v>
      </c>
      <c r="AL86" s="59"/>
      <c r="AM86" s="51"/>
      <c r="AN86" s="3"/>
      <c r="AO86" s="9">
        <f>$AN$2-AN86</f>
        <v>79.3</v>
      </c>
      <c r="AQ86" s="9">
        <f>$AP$2-AP86</f>
        <v>94</v>
      </c>
      <c r="AS86" s="9">
        <f>$AR$2-AR86</f>
        <v>97</v>
      </c>
      <c r="AU86" s="9">
        <f>$AT$2-AT86</f>
        <v>99</v>
      </c>
      <c r="AV86"/>
      <c r="AW86" s="9">
        <f>$AV$2-AV86</f>
        <v>58</v>
      </c>
      <c r="AY86" s="9">
        <f>$AX$2-AX86</f>
        <v>58.5</v>
      </c>
      <c r="AZ86"/>
      <c r="BA86" s="9">
        <f>$AZ$2-AZ86</f>
        <v>41</v>
      </c>
      <c r="BB86"/>
      <c r="BC86" s="9">
        <f>$BB$2-BB86</f>
        <v>41</v>
      </c>
      <c r="BD86"/>
      <c r="BE86" s="9">
        <f>$BD$2-BD86</f>
        <v>29</v>
      </c>
      <c r="BG86" s="37">
        <f>$BF$2-BF86</f>
        <v>29</v>
      </c>
    </row>
    <row r="87" spans="1:59" x14ac:dyDescent="0.25">
      <c r="A87" s="10"/>
      <c r="B87" s="1" t="s">
        <v>24</v>
      </c>
      <c r="C87" s="81">
        <v>43144</v>
      </c>
      <c r="D87" s="81"/>
      <c r="E87" s="3"/>
      <c r="F87" s="54"/>
      <c r="G87" s="51"/>
      <c r="H87" s="52"/>
      <c r="I87" s="161"/>
      <c r="J87" s="157"/>
      <c r="K87" s="258"/>
      <c r="L87" s="11">
        <v>4</v>
      </c>
      <c r="M87" s="50">
        <v>5.13</v>
      </c>
      <c r="N87" s="11"/>
      <c r="O87" s="52">
        <v>0.20486111111111113</v>
      </c>
      <c r="P87" s="161">
        <v>143</v>
      </c>
      <c r="Q87" s="157">
        <v>139</v>
      </c>
      <c r="R87" s="26">
        <v>1.8124999999999999E-2</v>
      </c>
      <c r="S87" s="223"/>
      <c r="T87" s="26"/>
      <c r="U87" s="53"/>
      <c r="V87" s="54"/>
      <c r="W87" s="51"/>
      <c r="X87" s="52"/>
      <c r="Y87" s="161"/>
      <c r="Z87" s="157"/>
      <c r="AA87" s="233"/>
      <c r="AB87" s="11">
        <v>7</v>
      </c>
      <c r="AC87" s="51">
        <v>0.17500000000000002</v>
      </c>
      <c r="AD87" s="52">
        <v>0.17430555555555557</v>
      </c>
      <c r="AE87" s="161">
        <v>157</v>
      </c>
      <c r="AF87" s="157">
        <v>158</v>
      </c>
      <c r="AG87" s="233">
        <v>2.0335648148148148E-2</v>
      </c>
      <c r="AH87" s="50">
        <f t="shared" si="4"/>
        <v>12.129999999999999</v>
      </c>
      <c r="AI87" s="87">
        <f t="shared" si="5"/>
        <v>11</v>
      </c>
      <c r="AJ87" s="27">
        <f t="shared" si="2"/>
        <v>1.129999999999999</v>
      </c>
      <c r="AK87" s="63">
        <f t="shared" si="6"/>
        <v>3.8460648148148147E-2</v>
      </c>
      <c r="AL87" s="59"/>
      <c r="AM87" s="51"/>
      <c r="AN87" s="3"/>
      <c r="AO87" s="55"/>
      <c r="AP87" s="11"/>
      <c r="AQ87" s="55"/>
      <c r="AR87" s="11"/>
      <c r="AS87" s="55"/>
      <c r="AT87" s="11"/>
      <c r="AU87" s="55"/>
      <c r="AV87" s="11"/>
      <c r="AW87" s="55"/>
      <c r="AX87" s="11"/>
      <c r="AY87" s="55"/>
      <c r="AZ87" s="11"/>
      <c r="BA87" s="55"/>
      <c r="BB87" s="11"/>
      <c r="BC87" s="55"/>
      <c r="BD87" s="11"/>
      <c r="BE87" s="55"/>
      <c r="BF87" s="11"/>
      <c r="BG87" s="37"/>
    </row>
    <row r="88" spans="1:59" x14ac:dyDescent="0.25">
      <c r="A88" s="10">
        <v>7</v>
      </c>
      <c r="B88" s="1" t="s">
        <v>15</v>
      </c>
      <c r="C88" s="81">
        <v>43145</v>
      </c>
      <c r="D88" s="81"/>
      <c r="E88" s="3">
        <v>10</v>
      </c>
      <c r="F88" s="54">
        <v>14.31</v>
      </c>
      <c r="G88" s="51"/>
      <c r="H88" s="52">
        <v>0.19999999999999998</v>
      </c>
      <c r="I88" s="161">
        <v>129</v>
      </c>
      <c r="J88" s="157">
        <v>135</v>
      </c>
      <c r="K88" s="258">
        <v>4.7662037037037037E-2</v>
      </c>
      <c r="L88" s="11"/>
      <c r="M88" s="50"/>
      <c r="N88" s="11"/>
      <c r="O88" s="50"/>
      <c r="P88" s="161"/>
      <c r="Q88" s="157"/>
      <c r="R88" s="11"/>
      <c r="S88" s="223"/>
      <c r="T88" s="26"/>
      <c r="U88" s="53"/>
      <c r="V88" s="54"/>
      <c r="W88" s="11"/>
      <c r="X88" s="50"/>
      <c r="Y88" s="161"/>
      <c r="Z88" s="157"/>
      <c r="AA88" s="263"/>
      <c r="AB88" s="27"/>
      <c r="AC88" s="51"/>
      <c r="AD88" s="52"/>
      <c r="AE88" s="161"/>
      <c r="AF88" s="157"/>
      <c r="AG88" s="233"/>
      <c r="AH88" s="50">
        <f t="shared" si="4"/>
        <v>14.31</v>
      </c>
      <c r="AI88" s="87">
        <f t="shared" si="5"/>
        <v>10</v>
      </c>
      <c r="AJ88" s="27">
        <f t="shared" si="2"/>
        <v>4.3100000000000005</v>
      </c>
      <c r="AK88" s="63">
        <f t="shared" si="6"/>
        <v>4.7662037037037037E-2</v>
      </c>
      <c r="AL88" s="59"/>
      <c r="AM88" s="51"/>
      <c r="AN88" s="3"/>
      <c r="AO88" s="55"/>
      <c r="AP88" s="11"/>
      <c r="AQ88" s="55"/>
      <c r="AR88" s="11"/>
      <c r="AS88" s="55"/>
      <c r="AT88" s="11"/>
      <c r="AU88" s="55"/>
      <c r="AV88" s="11"/>
      <c r="AW88" s="55"/>
      <c r="AX88" s="11"/>
      <c r="AY88" s="55"/>
      <c r="AZ88" s="11"/>
      <c r="BA88" s="55"/>
      <c r="BB88" s="11"/>
      <c r="BC88" s="55"/>
      <c r="BD88" s="11"/>
      <c r="BE88" s="55"/>
      <c r="BF88" s="11"/>
      <c r="BG88" s="37"/>
    </row>
    <row r="89" spans="1:59" x14ac:dyDescent="0.25">
      <c r="A89" s="10"/>
      <c r="B89" s="1" t="s">
        <v>26</v>
      </c>
      <c r="C89" s="81">
        <v>43146</v>
      </c>
      <c r="D89" s="81"/>
      <c r="E89" s="3">
        <v>10</v>
      </c>
      <c r="F89" s="54">
        <v>10.67</v>
      </c>
      <c r="G89" s="2">
        <v>0.20694444444444446</v>
      </c>
      <c r="H89" s="52">
        <v>0.18819444444444444</v>
      </c>
      <c r="I89" s="161">
        <v>143</v>
      </c>
      <c r="J89" s="157">
        <v>147</v>
      </c>
      <c r="K89" s="258">
        <v>3.3437500000000002E-2</v>
      </c>
      <c r="L89" s="11"/>
      <c r="M89" s="50"/>
      <c r="N89" s="11"/>
      <c r="O89" s="50"/>
      <c r="P89" s="161"/>
      <c r="Q89" s="157"/>
      <c r="R89" s="11"/>
      <c r="S89" s="223"/>
      <c r="T89" s="26"/>
      <c r="U89" s="53"/>
      <c r="V89" s="54"/>
      <c r="W89" s="11"/>
      <c r="X89" s="50"/>
      <c r="Y89" s="161"/>
      <c r="Z89" s="157"/>
      <c r="AA89" s="263"/>
      <c r="AB89" s="27"/>
      <c r="AC89" s="51"/>
      <c r="AD89" s="52"/>
      <c r="AE89" s="161"/>
      <c r="AF89" s="157"/>
      <c r="AG89" s="233"/>
      <c r="AH89" s="13">
        <f t="shared" si="4"/>
        <v>10.67</v>
      </c>
      <c r="AI89" s="87">
        <f t="shared" si="5"/>
        <v>10</v>
      </c>
      <c r="AJ89" s="27">
        <f t="shared" si="2"/>
        <v>0.66999999999999993</v>
      </c>
      <c r="AK89" s="63">
        <f t="shared" si="6"/>
        <v>3.3437500000000002E-2</v>
      </c>
      <c r="AL89" s="59"/>
      <c r="AM89" s="51"/>
      <c r="AN89" s="3"/>
      <c r="AO89" s="55"/>
      <c r="AP89" s="11"/>
      <c r="AQ89" s="55"/>
      <c r="AR89" s="11"/>
      <c r="AS89" s="55"/>
      <c r="AT89" s="11"/>
      <c r="AU89" s="55"/>
      <c r="AV89" s="11"/>
      <c r="AW89" s="55"/>
      <c r="AX89" s="11"/>
      <c r="AY89" s="55"/>
      <c r="AZ89" s="11"/>
      <c r="BA89" s="55"/>
      <c r="BB89" s="11"/>
      <c r="BC89" s="55"/>
      <c r="BD89" s="11"/>
      <c r="BE89" s="55"/>
      <c r="BF89" s="11"/>
      <c r="BG89" s="37"/>
    </row>
    <row r="90" spans="1:59" x14ac:dyDescent="0.25">
      <c r="A90" s="10"/>
      <c r="B90" s="1" t="s">
        <v>29</v>
      </c>
      <c r="C90" s="81">
        <v>43147</v>
      </c>
      <c r="D90" s="81"/>
      <c r="E90" s="3"/>
      <c r="F90" s="54"/>
      <c r="G90" s="51"/>
      <c r="H90" s="52"/>
      <c r="I90" s="161"/>
      <c r="J90" s="157"/>
      <c r="K90" s="258"/>
      <c r="L90" s="11">
        <v>4</v>
      </c>
      <c r="M90" s="50">
        <v>7.1</v>
      </c>
      <c r="N90" s="11"/>
      <c r="O90" s="52">
        <v>0.20208333333333331</v>
      </c>
      <c r="P90" s="161">
        <v>143</v>
      </c>
      <c r="Q90" s="157">
        <v>139</v>
      </c>
      <c r="R90" s="26">
        <v>2.361111111111111E-2</v>
      </c>
      <c r="S90" s="223">
        <v>1.82</v>
      </c>
      <c r="T90" s="26">
        <v>7.8703703703703713E-3</v>
      </c>
      <c r="U90" s="53" t="s">
        <v>166</v>
      </c>
      <c r="V90" s="54">
        <v>4</v>
      </c>
      <c r="W90" s="51">
        <v>0.15208333333333332</v>
      </c>
      <c r="X90" s="52">
        <v>0.15069444444444444</v>
      </c>
      <c r="Y90" s="161">
        <v>185</v>
      </c>
      <c r="Z90" s="157">
        <v>164</v>
      </c>
      <c r="AA90" s="233">
        <v>1.0046296296296296E-2</v>
      </c>
      <c r="AB90" s="11"/>
      <c r="AC90" s="11"/>
      <c r="AD90" s="50"/>
      <c r="AE90" s="161"/>
      <c r="AF90" s="157"/>
      <c r="AG90" s="263"/>
      <c r="AH90" s="50">
        <f t="shared" si="4"/>
        <v>12.92</v>
      </c>
      <c r="AI90" s="87">
        <f t="shared" si="5"/>
        <v>9.82</v>
      </c>
      <c r="AJ90" s="27">
        <f t="shared" si="2"/>
        <v>3.0999999999999996</v>
      </c>
      <c r="AK90" s="63">
        <f t="shared" si="6"/>
        <v>4.1527777777777775E-2</v>
      </c>
      <c r="AL90" s="59"/>
      <c r="AM90" s="51"/>
      <c r="AN90" s="3"/>
      <c r="AO90" s="55"/>
      <c r="AP90" s="11"/>
      <c r="AQ90" s="55"/>
      <c r="AR90" s="11"/>
      <c r="AS90" s="55"/>
      <c r="AT90" s="11"/>
      <c r="AU90" s="55"/>
      <c r="AV90" s="11"/>
      <c r="AW90" s="55"/>
      <c r="AX90" s="11"/>
      <c r="AY90" s="55"/>
      <c r="AZ90" s="11"/>
      <c r="BA90" s="55"/>
      <c r="BB90" s="11"/>
      <c r="BC90" s="55"/>
      <c r="BD90" s="11"/>
      <c r="BE90" s="55"/>
      <c r="BF90" s="11"/>
      <c r="BG90" s="37"/>
    </row>
    <row r="91" spans="1:59" x14ac:dyDescent="0.25">
      <c r="A91" s="56"/>
      <c r="B91" s="17" t="s">
        <v>27</v>
      </c>
      <c r="C91" s="85">
        <v>43149</v>
      </c>
      <c r="D91" s="85"/>
      <c r="E91" s="19">
        <v>18</v>
      </c>
      <c r="F91" s="42">
        <v>19.25</v>
      </c>
      <c r="G91" s="21">
        <v>0.20694444444444446</v>
      </c>
      <c r="H91" s="22">
        <v>0.19166666666666665</v>
      </c>
      <c r="I91" s="160">
        <v>143</v>
      </c>
      <c r="J91" s="156">
        <v>148</v>
      </c>
      <c r="K91" s="259">
        <v>6.1469907407407404E-2</v>
      </c>
      <c r="L91" s="18"/>
      <c r="M91" s="20"/>
      <c r="N91" s="18"/>
      <c r="O91" s="20"/>
      <c r="P91" s="160"/>
      <c r="Q91" s="156"/>
      <c r="R91" s="18"/>
      <c r="S91" s="224"/>
      <c r="T91" s="84"/>
      <c r="U91" s="31"/>
      <c r="V91" s="42"/>
      <c r="W91" s="18"/>
      <c r="X91" s="20"/>
      <c r="Y91" s="160"/>
      <c r="Z91" s="156"/>
      <c r="AA91" s="265"/>
      <c r="AB91" s="18"/>
      <c r="AC91" s="18"/>
      <c r="AD91" s="20"/>
      <c r="AE91" s="160"/>
      <c r="AF91" s="156"/>
      <c r="AG91" s="266"/>
      <c r="AH91" s="20">
        <f t="shared" si="4"/>
        <v>19.25</v>
      </c>
      <c r="AI91" s="88">
        <f t="shared" si="5"/>
        <v>18</v>
      </c>
      <c r="AJ91" s="34">
        <f t="shared" si="2"/>
        <v>1.25</v>
      </c>
      <c r="AK91" s="58">
        <f t="shared" si="6"/>
        <v>6.1469907407407404E-2</v>
      </c>
      <c r="AL91" s="57">
        <f>SUM(AH86:AH91)</f>
        <v>79.400000000000006</v>
      </c>
      <c r="AM91" s="21">
        <f>SUM(AK86:AK91)</f>
        <v>0.25692129629629629</v>
      </c>
      <c r="AN91" s="19"/>
      <c r="AO91" s="36"/>
      <c r="AP91" s="18"/>
      <c r="AQ91" s="36"/>
      <c r="AR91" s="18"/>
      <c r="AS91" s="36"/>
      <c r="AT91" s="18"/>
      <c r="AU91" s="36"/>
      <c r="AV91" s="18"/>
      <c r="AW91" s="36"/>
      <c r="AX91" s="18"/>
      <c r="AY91" s="36"/>
      <c r="AZ91" s="18"/>
      <c r="BA91" s="36"/>
      <c r="BB91" s="18"/>
      <c r="BC91" s="36"/>
      <c r="BD91" s="18"/>
      <c r="BE91" s="36"/>
      <c r="BF91" s="18"/>
      <c r="BG91" s="38"/>
    </row>
    <row r="92" spans="1:59" x14ac:dyDescent="0.25">
      <c r="A92" s="10"/>
      <c r="B92" s="1" t="s">
        <v>0</v>
      </c>
      <c r="C92" s="81">
        <v>43150</v>
      </c>
      <c r="D92" s="81"/>
      <c r="E92" s="3">
        <v>8</v>
      </c>
      <c r="F92" s="54">
        <v>9.34</v>
      </c>
      <c r="G92" s="51"/>
      <c r="H92" s="52">
        <v>0.20416666666666669</v>
      </c>
      <c r="I92" s="161">
        <v>129</v>
      </c>
      <c r="J92" s="157">
        <v>133</v>
      </c>
      <c r="K92" s="258">
        <v>3.1805555555555552E-2</v>
      </c>
      <c r="L92" s="11"/>
      <c r="M92" s="50"/>
      <c r="N92" s="11"/>
      <c r="O92" s="50"/>
      <c r="P92" s="161"/>
      <c r="Q92" s="157"/>
      <c r="R92" s="11"/>
      <c r="S92" s="223"/>
      <c r="T92" s="26"/>
      <c r="U92" s="53"/>
      <c r="V92" s="54"/>
      <c r="W92" s="11"/>
      <c r="X92" s="50"/>
      <c r="Y92" s="161"/>
      <c r="Z92" s="157"/>
      <c r="AA92" s="263"/>
      <c r="AB92" s="11"/>
      <c r="AC92" s="11"/>
      <c r="AD92" s="50"/>
      <c r="AE92" s="161"/>
      <c r="AF92" s="157"/>
      <c r="AG92" s="263"/>
      <c r="AH92" s="188">
        <f t="shared" si="4"/>
        <v>9.34</v>
      </c>
      <c r="AI92" s="87">
        <f t="shared" si="5"/>
        <v>8</v>
      </c>
      <c r="AJ92" s="27">
        <f t="shared" si="2"/>
        <v>1.3399999999999999</v>
      </c>
      <c r="AK92" s="63">
        <f t="shared" si="6"/>
        <v>3.1805555555555552E-2</v>
      </c>
      <c r="AL92" s="59"/>
      <c r="AM92" s="51"/>
      <c r="AN92" s="3"/>
      <c r="AO92" s="9">
        <f>$AN$2-AN93</f>
        <v>79.3</v>
      </c>
      <c r="AQ92" s="9">
        <f>$AP$2-AP92</f>
        <v>94</v>
      </c>
      <c r="AS92" s="9">
        <f>$AR$2-AR92</f>
        <v>97</v>
      </c>
      <c r="AU92" s="9">
        <f>$AT$2-AT92</f>
        <v>99</v>
      </c>
      <c r="AV92"/>
      <c r="AW92" s="9">
        <f>$AV$2-AV92</f>
        <v>58</v>
      </c>
      <c r="AY92" s="9">
        <f>$AX$2-AX92</f>
        <v>58.5</v>
      </c>
      <c r="AZ92"/>
      <c r="BA92" s="9">
        <f>$AZ$2-AZ92</f>
        <v>41</v>
      </c>
      <c r="BB92"/>
      <c r="BC92" s="9">
        <f>$BB$2-BB92</f>
        <v>41</v>
      </c>
      <c r="BD92"/>
      <c r="BE92" s="9">
        <f>$BD$2-BD92</f>
        <v>29</v>
      </c>
      <c r="BG92" s="37">
        <f>$BF$2-BF92</f>
        <v>29</v>
      </c>
    </row>
    <row r="93" spans="1:59" x14ac:dyDescent="0.25">
      <c r="A93" s="10"/>
      <c r="B93" s="1" t="s">
        <v>15</v>
      </c>
      <c r="C93" s="81">
        <v>43152</v>
      </c>
      <c r="D93" s="81"/>
      <c r="E93" s="3">
        <v>10</v>
      </c>
      <c r="F93" s="54">
        <v>10.18</v>
      </c>
      <c r="G93" s="2">
        <v>0.20694444444444446</v>
      </c>
      <c r="H93" s="52">
        <v>0.18819444444444444</v>
      </c>
      <c r="I93" s="161">
        <v>143</v>
      </c>
      <c r="J93" s="157">
        <v>144</v>
      </c>
      <c r="K93" s="258">
        <v>3.1909722222222221E-2</v>
      </c>
      <c r="L93" s="11"/>
      <c r="M93" s="50"/>
      <c r="N93" s="11"/>
      <c r="O93" s="50"/>
      <c r="P93" s="161"/>
      <c r="Q93" s="157"/>
      <c r="R93" s="11"/>
      <c r="S93" s="223"/>
      <c r="T93" s="26"/>
      <c r="U93" s="53"/>
      <c r="V93" s="54"/>
      <c r="W93" s="11"/>
      <c r="X93" s="50"/>
      <c r="Y93" s="161"/>
      <c r="Z93" s="157"/>
      <c r="AA93" s="263"/>
      <c r="AB93" s="11"/>
      <c r="AC93" s="11"/>
      <c r="AD93" s="50"/>
      <c r="AE93" s="161"/>
      <c r="AF93" s="157"/>
      <c r="AG93" s="263"/>
      <c r="AH93" s="50">
        <f t="shared" si="4"/>
        <v>10.18</v>
      </c>
      <c r="AI93" s="87">
        <f t="shared" si="5"/>
        <v>10</v>
      </c>
      <c r="AJ93" s="27">
        <f t="shared" si="2"/>
        <v>0.17999999999999972</v>
      </c>
      <c r="AK93" s="63">
        <f t="shared" si="6"/>
        <v>3.1909722222222221E-2</v>
      </c>
      <c r="AL93" s="59"/>
      <c r="AM93" s="51"/>
      <c r="AN93" s="3"/>
      <c r="AZ93"/>
      <c r="BB93"/>
      <c r="BD93"/>
      <c r="BG93" s="37"/>
    </row>
    <row r="94" spans="1:59" x14ac:dyDescent="0.25">
      <c r="A94" s="10">
        <v>8</v>
      </c>
      <c r="B94" s="1" t="s">
        <v>26</v>
      </c>
      <c r="C94" s="81">
        <v>43153</v>
      </c>
      <c r="D94" s="81"/>
      <c r="E94" s="3">
        <v>10</v>
      </c>
      <c r="F94" s="54">
        <v>11.66</v>
      </c>
      <c r="G94" s="2">
        <v>0.20694444444444446</v>
      </c>
      <c r="H94" s="52">
        <v>0.19375000000000001</v>
      </c>
      <c r="I94" s="161">
        <v>143</v>
      </c>
      <c r="J94" s="157">
        <v>146</v>
      </c>
      <c r="K94" s="258">
        <v>3.7581018518518521E-2</v>
      </c>
      <c r="L94" s="11"/>
      <c r="M94" s="50"/>
      <c r="N94" s="11"/>
      <c r="O94" s="50"/>
      <c r="P94" s="161"/>
      <c r="Q94" s="157"/>
      <c r="R94" s="11"/>
      <c r="S94" s="223"/>
      <c r="T94" s="26"/>
      <c r="U94" s="53"/>
      <c r="V94" s="54"/>
      <c r="W94" s="11"/>
      <c r="X94" s="50"/>
      <c r="Y94" s="161"/>
      <c r="Z94" s="157"/>
      <c r="AA94" s="263"/>
      <c r="AB94" s="11"/>
      <c r="AC94" s="11"/>
      <c r="AD94" s="50"/>
      <c r="AE94" s="161"/>
      <c r="AF94" s="157"/>
      <c r="AG94" s="263"/>
      <c r="AH94" s="50">
        <f t="shared" si="4"/>
        <v>11.66</v>
      </c>
      <c r="AI94" s="87">
        <f t="shared" si="5"/>
        <v>10</v>
      </c>
      <c r="AJ94" s="27">
        <f t="shared" si="2"/>
        <v>1.6600000000000001</v>
      </c>
      <c r="AK94" s="63">
        <f t="shared" si="6"/>
        <v>3.7581018518518521E-2</v>
      </c>
      <c r="AL94" s="59"/>
      <c r="AM94" s="51"/>
      <c r="AN94" s="3"/>
      <c r="AZ94"/>
      <c r="BB94"/>
      <c r="BD94"/>
      <c r="BG94" s="37"/>
    </row>
    <row r="95" spans="1:59" x14ac:dyDescent="0.25">
      <c r="B95" s="17" t="s">
        <v>29</v>
      </c>
      <c r="C95" s="81">
        <v>43154</v>
      </c>
      <c r="D95" s="81"/>
      <c r="E95" s="3">
        <v>10</v>
      </c>
      <c r="F95" s="54">
        <v>10</v>
      </c>
      <c r="G95" s="21">
        <v>0.20694444444444446</v>
      </c>
      <c r="H95" s="52">
        <v>0.20138888888888887</v>
      </c>
      <c r="I95" s="161">
        <v>143</v>
      </c>
      <c r="J95" s="157">
        <v>157</v>
      </c>
      <c r="K95" s="258">
        <v>3.3564814814814818E-2</v>
      </c>
      <c r="L95" s="11"/>
      <c r="M95" s="50"/>
      <c r="N95" s="2"/>
      <c r="O95" s="52"/>
      <c r="P95" s="161"/>
      <c r="Q95" s="157"/>
      <c r="R95" s="26"/>
      <c r="S95" s="223"/>
      <c r="T95" s="26"/>
      <c r="U95" s="53"/>
      <c r="V95" s="54"/>
      <c r="W95" s="11"/>
      <c r="X95" s="64"/>
      <c r="Y95" s="161"/>
      <c r="Z95" s="157"/>
      <c r="AA95" s="233"/>
      <c r="AB95" s="11"/>
      <c r="AC95" s="11"/>
      <c r="AD95" s="50"/>
      <c r="AE95" s="161"/>
      <c r="AF95" s="157"/>
      <c r="AG95" s="50"/>
      <c r="AH95" s="61">
        <f t="shared" si="4"/>
        <v>10</v>
      </c>
      <c r="AI95" s="88">
        <f t="shared" si="5"/>
        <v>10</v>
      </c>
      <c r="AJ95" s="27">
        <f t="shared" si="2"/>
        <v>0</v>
      </c>
      <c r="AK95" s="58">
        <f t="shared" si="6"/>
        <v>3.3564814814814818E-2</v>
      </c>
      <c r="AL95" s="59"/>
      <c r="AM95" s="51"/>
      <c r="AN95" s="3"/>
      <c r="AO95" s="55"/>
      <c r="AP95" s="11"/>
      <c r="AQ95" s="55"/>
      <c r="AR95" s="11"/>
      <c r="AS95" s="55"/>
      <c r="AT95" s="11"/>
      <c r="AU95" s="55"/>
      <c r="AV95" s="11"/>
      <c r="AW95" s="55"/>
      <c r="AX95" s="11"/>
      <c r="AY95" s="55"/>
      <c r="AZ95" s="11"/>
      <c r="BA95" s="55"/>
      <c r="BB95" s="11"/>
      <c r="BC95" s="55"/>
      <c r="BD95" s="11"/>
      <c r="BE95" s="55"/>
      <c r="BF95" s="11"/>
      <c r="BG95" s="37"/>
    </row>
    <row r="96" spans="1:59" x14ac:dyDescent="0.25">
      <c r="A96" s="65"/>
      <c r="B96" s="17" t="s">
        <v>27</v>
      </c>
      <c r="C96" s="86">
        <v>43156</v>
      </c>
      <c r="D96" s="86" t="s">
        <v>290</v>
      </c>
      <c r="E96" s="68"/>
      <c r="F96" s="72"/>
      <c r="G96" s="177"/>
      <c r="H96" s="69"/>
      <c r="I96" s="162"/>
      <c r="J96" s="158"/>
      <c r="K96" s="260"/>
      <c r="L96" s="70"/>
      <c r="M96" s="69"/>
      <c r="N96" s="70"/>
      <c r="O96" s="69"/>
      <c r="P96" s="162"/>
      <c r="Q96" s="158"/>
      <c r="R96" s="70"/>
      <c r="S96" s="268"/>
      <c r="T96" s="83"/>
      <c r="U96" s="71"/>
      <c r="V96" s="72"/>
      <c r="W96" s="70"/>
      <c r="X96" s="69"/>
      <c r="Y96" s="162"/>
      <c r="Z96" s="158"/>
      <c r="AA96" s="267"/>
      <c r="AB96" s="70">
        <v>42.195</v>
      </c>
      <c r="AC96" s="177">
        <v>0.17500000000000002</v>
      </c>
      <c r="AD96" s="79">
        <v>0.17708333333333334</v>
      </c>
      <c r="AE96" s="162"/>
      <c r="AF96" s="158">
        <v>163</v>
      </c>
      <c r="AG96" s="270">
        <v>0.12476851851851851</v>
      </c>
      <c r="AH96" s="75">
        <f>AB96</f>
        <v>42.195</v>
      </c>
      <c r="AI96" s="154">
        <f t="shared" si="5"/>
        <v>42.195</v>
      </c>
      <c r="AJ96" s="67">
        <f>AH96-AI96</f>
        <v>0</v>
      </c>
      <c r="AK96" s="153">
        <f t="shared" si="6"/>
        <v>0.12476851851851851</v>
      </c>
      <c r="AL96" s="68"/>
      <c r="AM96" s="76"/>
      <c r="AN96" s="70"/>
      <c r="AO96" s="73">
        <f>$AN$2-AN96</f>
        <v>79.3</v>
      </c>
      <c r="AP96" s="70"/>
      <c r="AQ96" s="73"/>
      <c r="AR96" s="70"/>
      <c r="AS96" s="73"/>
      <c r="AT96" s="70"/>
      <c r="AU96" s="73"/>
      <c r="AV96" s="70"/>
      <c r="AW96" s="73"/>
      <c r="AX96" s="70"/>
      <c r="AY96" s="73"/>
      <c r="AZ96" s="70"/>
      <c r="BA96" s="73"/>
      <c r="BB96" s="70"/>
      <c r="BC96" s="73"/>
      <c r="BD96" s="70"/>
      <c r="BE96" s="73"/>
      <c r="BF96" s="70"/>
      <c r="BG96" s="74"/>
    </row>
    <row r="97" spans="1:58" x14ac:dyDescent="0.25">
      <c r="A97" s="6"/>
      <c r="I97" s="159"/>
      <c r="J97" s="147"/>
      <c r="P97" s="159"/>
      <c r="Q97" s="147"/>
      <c r="Y97" s="159"/>
      <c r="Z97" s="147"/>
      <c r="AE97" s="159"/>
      <c r="AF97" s="147"/>
      <c r="AZ97"/>
      <c r="BB97"/>
      <c r="BD97"/>
    </row>
    <row r="98" spans="1:58" x14ac:dyDescent="0.25">
      <c r="A98" s="6"/>
      <c r="I98" s="159"/>
      <c r="J98" s="147"/>
      <c r="P98" s="159"/>
      <c r="Q98" s="147"/>
      <c r="Y98" s="159"/>
      <c r="Z98" s="147"/>
      <c r="AE98" s="159"/>
      <c r="AF98" s="147"/>
      <c r="AH98" s="13">
        <f>SUM(AH2:AH97)</f>
        <v>1647.8349999999996</v>
      </c>
      <c r="AI98" s="13">
        <f>SUM(AI2:AI97)</f>
        <v>1346.1949999999999</v>
      </c>
      <c r="AJ98" s="13">
        <f>AH98-AI98</f>
        <v>301.63999999999965</v>
      </c>
      <c r="AK98" s="14">
        <f>SUM(AK2:AK97)</f>
        <v>5.5391087962962944</v>
      </c>
      <c r="AL98" s="35">
        <f>SUM(AL2:AL95)</f>
        <v>1564.46</v>
      </c>
      <c r="AM98" s="21">
        <f>SUM(AM2:AM97)</f>
        <v>6.1739930555555551</v>
      </c>
      <c r="AZ98"/>
      <c r="BB98"/>
      <c r="BD98"/>
    </row>
    <row r="99" spans="1:58" x14ac:dyDescent="0.25">
      <c r="A99" s="6"/>
      <c r="E99">
        <f>SUM(E2:E95)</f>
        <v>1097</v>
      </c>
      <c r="F99" s="46">
        <f>SUM(F2:F96)</f>
        <v>1383.9799999999993</v>
      </c>
      <c r="I99" s="159"/>
      <c r="J99" s="147"/>
      <c r="L99">
        <f>SUM(L2:L95)</f>
        <v>89</v>
      </c>
      <c r="M99">
        <f>SUM(M2:M95)</f>
        <v>103.66</v>
      </c>
      <c r="P99" s="159"/>
      <c r="Q99" s="147"/>
      <c r="V99">
        <f>SUM(V2:V95)</f>
        <v>35</v>
      </c>
      <c r="Y99" s="159"/>
      <c r="Z99" s="147"/>
      <c r="AB99">
        <f>SUM(AB2:AB95)</f>
        <v>72</v>
      </c>
      <c r="AD99"/>
      <c r="AE99" s="159"/>
      <c r="AF99" s="147"/>
      <c r="AH99" s="41"/>
      <c r="AZ99"/>
      <c r="BB99"/>
      <c r="BD99"/>
    </row>
    <row r="100" spans="1:58" x14ac:dyDescent="0.25">
      <c r="A100" s="6"/>
      <c r="I100" s="159"/>
      <c r="J100" s="147"/>
      <c r="P100" s="159"/>
      <c r="Q100" s="147"/>
      <c r="Y100" s="159"/>
      <c r="Z100" s="147"/>
      <c r="AE100" s="159"/>
      <c r="AF100" s="147"/>
      <c r="AH100" s="41"/>
      <c r="AZ100"/>
      <c r="BB100"/>
      <c r="BD100"/>
    </row>
    <row r="101" spans="1:58" x14ac:dyDescent="0.25">
      <c r="A101" s="6"/>
      <c r="I101" s="159"/>
      <c r="J101" s="147"/>
      <c r="P101" s="159"/>
      <c r="Q101" s="147"/>
      <c r="Y101" s="159"/>
      <c r="Z101" s="147"/>
      <c r="AE101" s="159"/>
      <c r="AF101" s="147"/>
      <c r="AZ101"/>
      <c r="BB101"/>
      <c r="BD101"/>
    </row>
    <row r="102" spans="1:58" x14ac:dyDescent="0.25">
      <c r="I102" s="112"/>
      <c r="P102" s="112"/>
      <c r="Y102" s="112"/>
      <c r="AE102" s="112"/>
      <c r="AZ102"/>
      <c r="BB102"/>
      <c r="BD102"/>
    </row>
    <row r="103" spans="1:58" x14ac:dyDescent="0.25">
      <c r="I103" s="112"/>
      <c r="P103" s="112"/>
      <c r="Y103" s="112"/>
      <c r="AE103" s="112"/>
      <c r="AZ103"/>
      <c r="BB103"/>
      <c r="BD103"/>
    </row>
    <row r="104" spans="1:58" x14ac:dyDescent="0.25">
      <c r="I104" s="112"/>
      <c r="P104" s="112"/>
      <c r="Y104" s="112"/>
      <c r="AE104" s="112"/>
      <c r="AZ104"/>
      <c r="BB104"/>
      <c r="BD104"/>
    </row>
    <row r="105" spans="1:58" x14ac:dyDescent="0.25">
      <c r="I105" s="112"/>
      <c r="P105" s="112"/>
      <c r="Y105" s="112"/>
      <c r="AE105" s="112"/>
      <c r="AZ105"/>
      <c r="BB105"/>
      <c r="BD105"/>
    </row>
    <row r="106" spans="1:58" x14ac:dyDescent="0.25">
      <c r="I106" s="112"/>
      <c r="P106" s="112"/>
      <c r="Y106" s="112"/>
      <c r="AE106" s="112"/>
      <c r="AZ106"/>
      <c r="BB106"/>
      <c r="BD106"/>
    </row>
    <row r="107" spans="1:58" x14ac:dyDescent="0.25">
      <c r="I107" s="112"/>
      <c r="P107" s="112"/>
      <c r="Y107" s="112"/>
      <c r="AE107" s="112"/>
      <c r="AZ107"/>
      <c r="BB107"/>
      <c r="BD107"/>
    </row>
    <row r="108" spans="1:58" x14ac:dyDescent="0.25">
      <c r="I108" s="112"/>
      <c r="P108" s="112"/>
      <c r="Y108" s="112"/>
      <c r="AE108" s="112"/>
      <c r="AZ108"/>
      <c r="BB108"/>
      <c r="BD108"/>
    </row>
    <row r="109" spans="1:58" x14ac:dyDescent="0.25">
      <c r="I109" s="112"/>
      <c r="P109" s="112"/>
      <c r="Y109" s="112"/>
      <c r="AE109" s="112"/>
      <c r="AZ109"/>
      <c r="BB109"/>
      <c r="BD109"/>
    </row>
    <row r="110" spans="1:58" x14ac:dyDescent="0.25">
      <c r="I110" s="112"/>
      <c r="P110" s="112"/>
      <c r="Y110" s="112"/>
      <c r="AE110" s="112"/>
      <c r="AZ110"/>
      <c r="BB110"/>
      <c r="BD110"/>
    </row>
    <row r="111" spans="1:58" x14ac:dyDescent="0.25">
      <c r="I111" s="112"/>
      <c r="P111" s="112"/>
      <c r="Y111" s="112"/>
      <c r="AE111" s="112"/>
      <c r="AZ111"/>
      <c r="BB111"/>
      <c r="BD111"/>
    </row>
    <row r="112" spans="1:58" s="9" customFormat="1" x14ac:dyDescent="0.25">
      <c r="A112"/>
      <c r="B112"/>
      <c r="C112"/>
      <c r="D112"/>
      <c r="E112"/>
      <c r="F112" s="41"/>
      <c r="G112"/>
      <c r="H112" s="13"/>
      <c r="I112" s="112"/>
      <c r="J112" s="13"/>
      <c r="K112" s="261"/>
      <c r="L112"/>
      <c r="M112" s="13"/>
      <c r="N112"/>
      <c r="O112" s="13"/>
      <c r="P112" s="112"/>
      <c r="Q112" s="13"/>
      <c r="R112"/>
      <c r="S112" s="41"/>
      <c r="T112" s="46"/>
      <c r="U112" s="30"/>
      <c r="V112" s="41"/>
      <c r="W112"/>
      <c r="X112" s="13"/>
      <c r="Y112" s="112"/>
      <c r="Z112" s="13"/>
      <c r="AA112" s="13"/>
      <c r="AB112"/>
      <c r="AC112"/>
      <c r="AD112" s="13"/>
      <c r="AE112" s="112"/>
      <c r="AF112" s="13"/>
      <c r="AG112" s="13"/>
      <c r="AH112" s="13"/>
      <c r="AI112"/>
      <c r="AJ112"/>
      <c r="AK112" s="13"/>
      <c r="AL112" s="13"/>
      <c r="AM112" s="13"/>
      <c r="AN112"/>
      <c r="AP112"/>
      <c r="AR112"/>
      <c r="AT112"/>
      <c r="AX112"/>
      <c r="AZ112"/>
      <c r="BB112"/>
      <c r="BD112"/>
      <c r="BF112"/>
    </row>
    <row r="113" spans="1:59" s="9" customFormat="1" x14ac:dyDescent="0.25">
      <c r="A113"/>
      <c r="B113"/>
      <c r="C113"/>
      <c r="D113"/>
      <c r="E113"/>
      <c r="F113" s="41"/>
      <c r="G113"/>
      <c r="H113" s="13"/>
      <c r="I113" s="112"/>
      <c r="J113" s="13"/>
      <c r="K113" s="261"/>
      <c r="L113"/>
      <c r="M113" s="13"/>
      <c r="N113"/>
      <c r="O113" s="13"/>
      <c r="P113" s="112"/>
      <c r="Q113" s="13"/>
      <c r="R113"/>
      <c r="S113" s="41"/>
      <c r="T113" s="46"/>
      <c r="U113" s="30"/>
      <c r="V113" s="41"/>
      <c r="W113"/>
      <c r="X113" s="13"/>
      <c r="Y113" s="112"/>
      <c r="Z113" s="13"/>
      <c r="AA113" s="13"/>
      <c r="AB113"/>
      <c r="AC113"/>
      <c r="AD113" s="13"/>
      <c r="AE113" s="112"/>
      <c r="AF113" s="13"/>
      <c r="AG113" s="13"/>
      <c r="AH113" s="13"/>
      <c r="AI113"/>
      <c r="AJ113"/>
      <c r="AK113" s="13"/>
      <c r="AL113" s="13"/>
      <c r="AM113" s="13"/>
      <c r="AN113"/>
      <c r="AP113"/>
      <c r="AR113"/>
      <c r="AT113"/>
      <c r="AX113"/>
      <c r="BF113"/>
    </row>
    <row r="114" spans="1:59" s="9" customFormat="1" x14ac:dyDescent="0.25">
      <c r="A114"/>
      <c r="B114"/>
      <c r="C114"/>
      <c r="D114"/>
      <c r="E114"/>
      <c r="F114" s="41"/>
      <c r="G114"/>
      <c r="H114" s="13"/>
      <c r="I114" s="112"/>
      <c r="J114" s="13"/>
      <c r="K114" s="261"/>
      <c r="L114"/>
      <c r="M114" s="13"/>
      <c r="N114"/>
      <c r="O114" s="13"/>
      <c r="P114" s="112"/>
      <c r="Q114" s="13"/>
      <c r="R114"/>
      <c r="S114" s="41"/>
      <c r="T114" s="46"/>
      <c r="U114" s="30"/>
      <c r="V114" s="41"/>
      <c r="W114"/>
      <c r="X114" s="13"/>
      <c r="Y114" s="112"/>
      <c r="Z114" s="13"/>
      <c r="AA114" s="13"/>
      <c r="AB114"/>
      <c r="AC114"/>
      <c r="AD114" s="13"/>
      <c r="AE114" s="112"/>
      <c r="AF114" s="13"/>
      <c r="AG114" s="13"/>
      <c r="AH114" s="13"/>
      <c r="AI114"/>
      <c r="AJ114"/>
      <c r="AK114" s="13"/>
      <c r="AL114" s="13"/>
      <c r="AM114" s="13"/>
      <c r="AN114"/>
      <c r="AP114"/>
      <c r="AR114"/>
      <c r="AT114"/>
      <c r="AX114"/>
      <c r="BF114"/>
    </row>
    <row r="115" spans="1:59" s="9" customFormat="1" x14ac:dyDescent="0.25">
      <c r="A115"/>
      <c r="B115"/>
      <c r="C115"/>
      <c r="D115"/>
      <c r="E115"/>
      <c r="F115" s="41"/>
      <c r="G115"/>
      <c r="H115" s="13"/>
      <c r="I115" s="112"/>
      <c r="J115" s="13"/>
      <c r="K115" s="261"/>
      <c r="L115"/>
      <c r="M115" s="13"/>
      <c r="N115"/>
      <c r="O115" s="13"/>
      <c r="P115" s="112"/>
      <c r="Q115" s="13"/>
      <c r="R115"/>
      <c r="S115" s="41"/>
      <c r="T115" s="46"/>
      <c r="U115" s="30"/>
      <c r="V115" s="41"/>
      <c r="W115"/>
      <c r="X115" s="13"/>
      <c r="Y115" s="112"/>
      <c r="Z115" s="13"/>
      <c r="AA115" s="13"/>
      <c r="AB115"/>
      <c r="AC115"/>
      <c r="AD115" s="13"/>
      <c r="AE115" s="112"/>
      <c r="AF115" s="13"/>
      <c r="AG115" s="13"/>
      <c r="AH115" s="13"/>
      <c r="AI115"/>
      <c r="AJ115"/>
      <c r="AK115" s="13"/>
      <c r="AL115" s="13"/>
      <c r="AM115" s="13"/>
      <c r="AN115"/>
      <c r="AP115"/>
      <c r="AR115"/>
      <c r="AT115"/>
      <c r="AX115"/>
      <c r="BF115"/>
    </row>
    <row r="116" spans="1:59" s="9" customFormat="1" x14ac:dyDescent="0.25">
      <c r="A116"/>
      <c r="B116"/>
      <c r="C116"/>
      <c r="D116"/>
      <c r="E116"/>
      <c r="F116" s="41"/>
      <c r="G116"/>
      <c r="H116" s="13"/>
      <c r="I116" s="112"/>
      <c r="J116" s="13"/>
      <c r="K116" s="261"/>
      <c r="L116"/>
      <c r="M116" s="13"/>
      <c r="N116"/>
      <c r="O116" s="13"/>
      <c r="P116" s="112"/>
      <c r="Q116" s="13"/>
      <c r="R116"/>
      <c r="S116" s="41"/>
      <c r="T116" s="46"/>
      <c r="U116" s="30"/>
      <c r="V116" s="41"/>
      <c r="W116"/>
      <c r="X116" s="13"/>
      <c r="Y116" s="112"/>
      <c r="Z116" s="13"/>
      <c r="AA116" s="13"/>
      <c r="AB116"/>
      <c r="AC116"/>
      <c r="AD116" s="13"/>
      <c r="AE116" s="112"/>
      <c r="AF116" s="13"/>
      <c r="AG116" s="13"/>
      <c r="AH116" s="13"/>
      <c r="AI116"/>
      <c r="AJ116"/>
      <c r="AK116" s="13"/>
      <c r="AL116" s="13"/>
      <c r="AM116" s="13"/>
      <c r="AN116"/>
      <c r="AP116"/>
      <c r="AR116"/>
      <c r="AT116"/>
      <c r="AX116"/>
      <c r="BF116"/>
    </row>
    <row r="117" spans="1:59" s="9" customFormat="1" x14ac:dyDescent="0.25">
      <c r="A117"/>
      <c r="B117"/>
      <c r="C117"/>
      <c r="D117"/>
      <c r="E117"/>
      <c r="F117" s="41"/>
      <c r="G117"/>
      <c r="H117" s="13"/>
      <c r="I117" s="112"/>
      <c r="J117" s="13"/>
      <c r="K117" s="261"/>
      <c r="L117"/>
      <c r="M117" s="13"/>
      <c r="N117"/>
      <c r="O117" s="13"/>
      <c r="P117" s="112"/>
      <c r="Q117" s="13"/>
      <c r="R117"/>
      <c r="S117" s="41"/>
      <c r="T117" s="46"/>
      <c r="U117" s="30"/>
      <c r="V117" s="41"/>
      <c r="W117"/>
      <c r="X117" s="13"/>
      <c r="Y117" s="112"/>
      <c r="Z117" s="13"/>
      <c r="AA117" s="13"/>
      <c r="AB117"/>
      <c r="AC117"/>
      <c r="AD117" s="13"/>
      <c r="AE117" s="112"/>
      <c r="AF117" s="13"/>
      <c r="AG117" s="13"/>
      <c r="AH117" s="13"/>
      <c r="AI117"/>
      <c r="AJ117"/>
      <c r="AK117" s="13"/>
      <c r="AL117" s="13"/>
      <c r="AM117" s="13"/>
      <c r="AN117"/>
      <c r="AP117"/>
      <c r="AR117"/>
      <c r="AT117"/>
      <c r="AX117"/>
      <c r="BF117"/>
    </row>
    <row r="118" spans="1:59" s="9" customFormat="1" x14ac:dyDescent="0.25">
      <c r="A118"/>
      <c r="B118"/>
      <c r="C118"/>
      <c r="D118"/>
      <c r="E118"/>
      <c r="F118" s="41"/>
      <c r="G118"/>
      <c r="H118" s="13"/>
      <c r="I118" s="112"/>
      <c r="J118" s="13"/>
      <c r="K118" s="261"/>
      <c r="L118"/>
      <c r="M118" s="13"/>
      <c r="N118"/>
      <c r="O118" s="13"/>
      <c r="P118" s="112"/>
      <c r="Q118" s="13"/>
      <c r="R118"/>
      <c r="S118" s="41"/>
      <c r="T118" s="46"/>
      <c r="U118" s="30"/>
      <c r="V118" s="41"/>
      <c r="W118"/>
      <c r="X118" s="13"/>
      <c r="Y118" s="112"/>
      <c r="Z118" s="13"/>
      <c r="AA118" s="13"/>
      <c r="AB118"/>
      <c r="AC118"/>
      <c r="AD118" s="13"/>
      <c r="AE118" s="112"/>
      <c r="AF118" s="13"/>
      <c r="AG118" s="13"/>
      <c r="AH118" s="13"/>
      <c r="AI118"/>
      <c r="AJ118"/>
      <c r="AK118" s="13"/>
      <c r="AL118" s="13"/>
      <c r="AM118" s="13"/>
      <c r="AN118"/>
      <c r="AP118"/>
      <c r="AR118"/>
      <c r="AT118"/>
      <c r="AX118"/>
      <c r="BF118"/>
    </row>
    <row r="119" spans="1:59" s="9" customFormat="1" x14ac:dyDescent="0.25">
      <c r="A119"/>
      <c r="B119"/>
      <c r="C119"/>
      <c r="D119"/>
      <c r="E119"/>
      <c r="F119" s="41"/>
      <c r="G119"/>
      <c r="H119" s="13"/>
      <c r="I119" s="112"/>
      <c r="J119" s="13"/>
      <c r="K119" s="261"/>
      <c r="L119"/>
      <c r="M119" s="13"/>
      <c r="N119"/>
      <c r="O119" s="13"/>
      <c r="P119" s="112"/>
      <c r="Q119" s="13"/>
      <c r="R119"/>
      <c r="S119" s="41"/>
      <c r="T119" s="46"/>
      <c r="U119" s="30"/>
      <c r="V119" s="41"/>
      <c r="W119"/>
      <c r="X119" s="13"/>
      <c r="Y119" s="112"/>
      <c r="Z119" s="13"/>
      <c r="AA119" s="13"/>
      <c r="AB119"/>
      <c r="AC119"/>
      <c r="AD119" s="13"/>
      <c r="AE119" s="112"/>
      <c r="AF119" s="13"/>
      <c r="AG119" s="13"/>
      <c r="AH119" s="13"/>
      <c r="AI119"/>
      <c r="AJ119"/>
      <c r="AK119" s="13"/>
      <c r="AL119" s="13"/>
      <c r="AM119" s="13"/>
      <c r="AN119"/>
      <c r="AP119"/>
      <c r="AR119"/>
      <c r="AT119"/>
      <c r="AX119"/>
      <c r="BF119"/>
    </row>
    <row r="120" spans="1:59" s="9" customFormat="1" x14ac:dyDescent="0.25">
      <c r="A120"/>
      <c r="B120"/>
      <c r="C120"/>
      <c r="D120"/>
      <c r="E120"/>
      <c r="F120" s="41"/>
      <c r="G120"/>
      <c r="H120" s="13"/>
      <c r="I120" s="112"/>
      <c r="J120" s="13"/>
      <c r="K120" s="261"/>
      <c r="L120"/>
      <c r="M120" s="13"/>
      <c r="N120"/>
      <c r="O120" s="13"/>
      <c r="P120" s="112"/>
      <c r="Q120" s="13"/>
      <c r="R120"/>
      <c r="S120" s="41"/>
      <c r="T120" s="46"/>
      <c r="U120" s="30"/>
      <c r="V120" s="41"/>
      <c r="W120"/>
      <c r="X120" s="13"/>
      <c r="Y120" s="112"/>
      <c r="Z120" s="13"/>
      <c r="AA120" s="13"/>
      <c r="AB120"/>
      <c r="AC120"/>
      <c r="AD120" s="13"/>
      <c r="AE120" s="112"/>
      <c r="AF120" s="13"/>
      <c r="AG120" s="13"/>
      <c r="AH120" s="13"/>
      <c r="AI120"/>
      <c r="AJ120"/>
      <c r="AK120" s="13"/>
      <c r="AL120" s="13"/>
      <c r="AM120" s="13"/>
      <c r="AN120"/>
      <c r="AP120"/>
      <c r="AR120"/>
      <c r="AT120"/>
      <c r="AX120"/>
      <c r="BF120"/>
    </row>
    <row r="121" spans="1:59" s="9" customFormat="1" x14ac:dyDescent="0.25">
      <c r="A121"/>
      <c r="B121"/>
      <c r="C121"/>
      <c r="D121"/>
      <c r="E121"/>
      <c r="F121" s="41"/>
      <c r="G121"/>
      <c r="H121" s="13"/>
      <c r="I121" s="112"/>
      <c r="J121" s="13"/>
      <c r="K121" s="261"/>
      <c r="L121"/>
      <c r="M121" s="13"/>
      <c r="N121"/>
      <c r="O121" s="13"/>
      <c r="P121" s="112"/>
      <c r="Q121" s="13"/>
      <c r="R121"/>
      <c r="S121" s="41"/>
      <c r="T121" s="46"/>
      <c r="U121" s="30"/>
      <c r="V121" s="41"/>
      <c r="W121"/>
      <c r="X121" s="13"/>
      <c r="Y121" s="112"/>
      <c r="Z121" s="13"/>
      <c r="AA121" s="13"/>
      <c r="AB121"/>
      <c r="AC121"/>
      <c r="AD121" s="13"/>
      <c r="AE121" s="112"/>
      <c r="AF121" s="13"/>
      <c r="AG121" s="13"/>
      <c r="AH121" s="13"/>
      <c r="AI121"/>
      <c r="AJ121"/>
      <c r="AK121" s="13"/>
      <c r="AL121" s="13"/>
      <c r="AM121" s="13"/>
      <c r="AN121"/>
      <c r="AP121"/>
      <c r="AR121"/>
      <c r="AT121"/>
      <c r="AX121"/>
      <c r="BF121"/>
    </row>
    <row r="122" spans="1:59" s="9" customFormat="1" x14ac:dyDescent="0.25">
      <c r="A122"/>
      <c r="B122"/>
      <c r="C122"/>
      <c r="D122"/>
      <c r="E122"/>
      <c r="F122" s="41"/>
      <c r="G122"/>
      <c r="H122" s="13"/>
      <c r="I122" s="112"/>
      <c r="J122" s="13"/>
      <c r="K122" s="261"/>
      <c r="L122"/>
      <c r="M122" s="13"/>
      <c r="N122"/>
      <c r="O122" s="13"/>
      <c r="P122" s="112"/>
      <c r="Q122" s="13"/>
      <c r="R122"/>
      <c r="S122" s="41"/>
      <c r="T122" s="46"/>
      <c r="U122" s="30"/>
      <c r="V122" s="41"/>
      <c r="W122"/>
      <c r="X122" s="13"/>
      <c r="Y122" s="112"/>
      <c r="Z122" s="13"/>
      <c r="AA122" s="13"/>
      <c r="AB122"/>
      <c r="AC122"/>
      <c r="AD122" s="13"/>
      <c r="AE122" s="112"/>
      <c r="AF122" s="13"/>
      <c r="AG122" s="13"/>
      <c r="AH122" s="13"/>
      <c r="AI122"/>
      <c r="AJ122"/>
      <c r="AK122" s="13"/>
      <c r="AL122" s="13"/>
      <c r="AM122" s="13"/>
      <c r="AN122"/>
      <c r="AP122"/>
      <c r="AR122"/>
      <c r="AT122"/>
      <c r="AX122"/>
      <c r="BF122"/>
    </row>
    <row r="123" spans="1:59" s="9" customFormat="1" x14ac:dyDescent="0.25">
      <c r="A123"/>
      <c r="B123"/>
      <c r="C123"/>
      <c r="D123"/>
      <c r="E123"/>
      <c r="F123" s="41"/>
      <c r="G123"/>
      <c r="H123" s="13"/>
      <c r="I123" s="112"/>
      <c r="J123" s="13"/>
      <c r="K123" s="261"/>
      <c r="L123"/>
      <c r="M123" s="13"/>
      <c r="N123"/>
      <c r="O123" s="13"/>
      <c r="P123" s="112"/>
      <c r="Q123" s="13"/>
      <c r="R123"/>
      <c r="S123" s="41"/>
      <c r="T123" s="46"/>
      <c r="U123" s="30"/>
      <c r="V123" s="41"/>
      <c r="W123"/>
      <c r="X123" s="13"/>
      <c r="Y123" s="112"/>
      <c r="Z123" s="13"/>
      <c r="AA123" s="13"/>
      <c r="AB123"/>
      <c r="AC123"/>
      <c r="AD123" s="13"/>
      <c r="AE123" s="112"/>
      <c r="AF123" s="13"/>
      <c r="AG123" s="13"/>
      <c r="AH123" s="13"/>
      <c r="AI123"/>
      <c r="AJ123"/>
      <c r="AK123" s="13"/>
      <c r="AL123" s="13"/>
      <c r="AM123" s="13"/>
      <c r="AN123"/>
      <c r="AP123"/>
      <c r="AR123"/>
      <c r="AT123"/>
      <c r="AX123"/>
      <c r="BF123"/>
    </row>
    <row r="124" spans="1:59" s="9" customFormat="1" x14ac:dyDescent="0.25">
      <c r="A124"/>
      <c r="B124"/>
      <c r="C124"/>
      <c r="D124"/>
      <c r="E124"/>
      <c r="F124" s="41"/>
      <c r="G124"/>
      <c r="H124" s="13"/>
      <c r="I124" s="112"/>
      <c r="J124" s="13"/>
      <c r="K124" s="261"/>
      <c r="L124"/>
      <c r="M124" s="13"/>
      <c r="N124"/>
      <c r="O124" s="13"/>
      <c r="P124" s="112"/>
      <c r="Q124" s="13"/>
      <c r="R124"/>
      <c r="S124" s="41"/>
      <c r="T124" s="46"/>
      <c r="U124" s="30"/>
      <c r="V124" s="41"/>
      <c r="W124"/>
      <c r="X124" s="13"/>
      <c r="Y124" s="112"/>
      <c r="Z124" s="13"/>
      <c r="AA124" s="13"/>
      <c r="AB124"/>
      <c r="AC124"/>
      <c r="AD124" s="13"/>
      <c r="AE124" s="112"/>
      <c r="AF124" s="13"/>
      <c r="AG124" s="13"/>
      <c r="AH124" s="13"/>
      <c r="AI124"/>
      <c r="AJ124"/>
      <c r="AK124" s="13"/>
      <c r="AL124" s="13"/>
      <c r="AM124" s="13"/>
      <c r="AN124"/>
      <c r="AP124"/>
      <c r="AR124"/>
      <c r="AT124"/>
      <c r="AX124"/>
      <c r="BF124"/>
    </row>
    <row r="125" spans="1:59" s="9" customFormat="1" x14ac:dyDescent="0.25">
      <c r="A125"/>
      <c r="B125"/>
      <c r="C125"/>
      <c r="D125"/>
      <c r="E125"/>
      <c r="F125" s="41"/>
      <c r="G125"/>
      <c r="H125" s="13"/>
      <c r="I125" s="112"/>
      <c r="J125" s="13"/>
      <c r="K125" s="261"/>
      <c r="L125"/>
      <c r="M125" s="13"/>
      <c r="N125"/>
      <c r="O125" s="13"/>
      <c r="P125" s="112"/>
      <c r="Q125" s="13"/>
      <c r="R125"/>
      <c r="S125" s="41"/>
      <c r="T125" s="46"/>
      <c r="U125" s="30"/>
      <c r="V125" s="41"/>
      <c r="W125"/>
      <c r="X125" s="13"/>
      <c r="Y125" s="112"/>
      <c r="Z125" s="13"/>
      <c r="AA125" s="13"/>
      <c r="AB125"/>
      <c r="AC125"/>
      <c r="AD125" s="13"/>
      <c r="AE125" s="112"/>
      <c r="AF125" s="13"/>
      <c r="AG125" s="13"/>
      <c r="AH125" s="13"/>
      <c r="AI125"/>
      <c r="AJ125"/>
      <c r="AK125" s="13"/>
      <c r="AL125" s="13"/>
      <c r="AM125" s="13"/>
      <c r="AN125"/>
      <c r="AP125"/>
      <c r="AR125"/>
      <c r="AT125"/>
      <c r="AX125"/>
      <c r="BF125"/>
    </row>
    <row r="126" spans="1:59" s="9" customFormat="1" x14ac:dyDescent="0.25">
      <c r="A126"/>
      <c r="B126"/>
      <c r="C126"/>
      <c r="D126"/>
      <c r="E126"/>
      <c r="F126" s="41"/>
      <c r="G126"/>
      <c r="H126" s="13"/>
      <c r="I126" s="112"/>
      <c r="J126" s="13"/>
      <c r="K126" s="261"/>
      <c r="L126"/>
      <c r="M126" s="13"/>
      <c r="N126"/>
      <c r="O126" s="13"/>
      <c r="P126" s="112"/>
      <c r="Q126" s="13"/>
      <c r="R126"/>
      <c r="S126" s="41"/>
      <c r="T126" s="46"/>
      <c r="U126" s="30"/>
      <c r="V126" s="41"/>
      <c r="W126"/>
      <c r="X126" s="13"/>
      <c r="Y126" s="112"/>
      <c r="Z126" s="13"/>
      <c r="AA126" s="13"/>
      <c r="AB126"/>
      <c r="AC126"/>
      <c r="AD126" s="13"/>
      <c r="AE126" s="112"/>
      <c r="AF126" s="13"/>
      <c r="AG126" s="13"/>
      <c r="AH126" s="13"/>
      <c r="AI126"/>
      <c r="AJ126"/>
      <c r="AK126" s="13"/>
      <c r="AL126" s="13"/>
      <c r="AM126" s="13"/>
      <c r="AN126"/>
      <c r="AP126"/>
      <c r="AR126"/>
      <c r="AT126"/>
      <c r="AX126"/>
      <c r="BF126"/>
    </row>
    <row r="127" spans="1:59" s="9" customFormat="1" x14ac:dyDescent="0.25">
      <c r="A127"/>
      <c r="B127"/>
      <c r="C127"/>
      <c r="D127"/>
      <c r="E127"/>
      <c r="F127" s="41"/>
      <c r="G127"/>
      <c r="H127" s="13"/>
      <c r="I127" s="112"/>
      <c r="J127" s="13"/>
      <c r="K127" s="261"/>
      <c r="L127"/>
      <c r="M127" s="13"/>
      <c r="N127"/>
      <c r="O127" s="13"/>
      <c r="P127" s="112"/>
      <c r="Q127" s="13"/>
      <c r="R127"/>
      <c r="S127" s="41"/>
      <c r="T127" s="46"/>
      <c r="U127" s="30"/>
      <c r="V127" s="41"/>
      <c r="W127"/>
      <c r="X127" s="13"/>
      <c r="Y127" s="112"/>
      <c r="Z127" s="13"/>
      <c r="AA127" s="13"/>
      <c r="AB127"/>
      <c r="AC127"/>
      <c r="AD127" s="13"/>
      <c r="AE127" s="112"/>
      <c r="AF127" s="13"/>
      <c r="AG127" s="13"/>
      <c r="AH127" s="13"/>
      <c r="AI127"/>
      <c r="AJ127"/>
      <c r="AK127" s="13"/>
      <c r="AL127" s="13"/>
      <c r="AM127" s="13"/>
      <c r="AN127"/>
      <c r="AP127"/>
      <c r="AR127"/>
      <c r="AT127"/>
      <c r="AX127"/>
      <c r="BF127"/>
    </row>
    <row r="128" spans="1:59" s="13" customFormat="1" x14ac:dyDescent="0.25">
      <c r="A128"/>
      <c r="B128"/>
      <c r="C128"/>
      <c r="D128"/>
      <c r="E128"/>
      <c r="F128" s="41"/>
      <c r="G128"/>
      <c r="I128" s="112"/>
      <c r="K128" s="261"/>
      <c r="L128"/>
      <c r="N128"/>
      <c r="P128" s="112"/>
      <c r="R128"/>
      <c r="S128" s="41"/>
      <c r="T128" s="46"/>
      <c r="U128" s="30"/>
      <c r="V128" s="41"/>
      <c r="W128"/>
      <c r="Y128" s="112"/>
      <c r="AB128"/>
      <c r="AC128"/>
      <c r="AE128" s="112"/>
      <c r="AI128"/>
      <c r="AJ128"/>
      <c r="AN128"/>
      <c r="AO128" s="9"/>
      <c r="AP128"/>
      <c r="AQ128" s="9"/>
      <c r="AR128"/>
      <c r="AS128" s="9"/>
      <c r="AT128"/>
      <c r="AU128" s="9"/>
      <c r="AV128" s="9"/>
      <c r="AW128" s="9"/>
      <c r="AX128"/>
      <c r="AY128" s="9"/>
      <c r="AZ128" s="9"/>
      <c r="BA128" s="9"/>
      <c r="BB128" s="9"/>
      <c r="BC128" s="9"/>
      <c r="BD128" s="9"/>
      <c r="BE128" s="9"/>
      <c r="BF128"/>
      <c r="BG128" s="9"/>
    </row>
    <row r="129" spans="1:59" s="13" customFormat="1" x14ac:dyDescent="0.25">
      <c r="A129"/>
      <c r="B129"/>
      <c r="C129"/>
      <c r="D129"/>
      <c r="E129"/>
      <c r="F129" s="41"/>
      <c r="G129"/>
      <c r="I129" s="112"/>
      <c r="K129" s="261"/>
      <c r="L129"/>
      <c r="N129"/>
      <c r="P129" s="112"/>
      <c r="R129"/>
      <c r="S129" s="41"/>
      <c r="T129" s="46"/>
      <c r="U129" s="30"/>
      <c r="V129" s="41"/>
      <c r="W129"/>
      <c r="Y129" s="112"/>
      <c r="AB129"/>
      <c r="AC129"/>
      <c r="AE129" s="112"/>
      <c r="AI129"/>
      <c r="AJ129"/>
      <c r="AN129"/>
      <c r="AO129" s="9"/>
      <c r="AP129"/>
      <c r="AQ129" s="9"/>
      <c r="AR129"/>
      <c r="AS129" s="9"/>
      <c r="AT129"/>
      <c r="AU129" s="9"/>
      <c r="AV129" s="9"/>
      <c r="AW129" s="9"/>
      <c r="AX129"/>
      <c r="AY129" s="9"/>
      <c r="AZ129" s="9"/>
      <c r="BA129" s="9"/>
      <c r="BB129" s="9"/>
      <c r="BC129" s="9"/>
      <c r="BD129" s="9"/>
      <c r="BE129" s="9"/>
      <c r="BF129"/>
      <c r="BG129" s="9"/>
    </row>
    <row r="130" spans="1:59" s="13" customFormat="1" x14ac:dyDescent="0.25">
      <c r="A130"/>
      <c r="B130"/>
      <c r="C130"/>
      <c r="D130"/>
      <c r="E130"/>
      <c r="F130" s="41"/>
      <c r="G130"/>
      <c r="I130" s="112"/>
      <c r="K130" s="261"/>
      <c r="L130"/>
      <c r="N130"/>
      <c r="P130" s="112"/>
      <c r="R130"/>
      <c r="S130" s="41"/>
      <c r="T130" s="46"/>
      <c r="U130" s="30"/>
      <c r="V130" s="41"/>
      <c r="W130"/>
      <c r="Y130" s="112"/>
      <c r="AB130"/>
      <c r="AC130"/>
      <c r="AE130" s="112"/>
      <c r="AI130"/>
      <c r="AJ130"/>
      <c r="AN130"/>
      <c r="AO130" s="9"/>
      <c r="AP130"/>
      <c r="AQ130" s="9"/>
      <c r="AR130"/>
      <c r="AS130" s="9"/>
      <c r="AT130"/>
      <c r="AU130" s="9"/>
      <c r="AV130" s="9"/>
      <c r="AW130" s="9"/>
      <c r="AX130"/>
      <c r="AY130" s="9"/>
      <c r="AZ130" s="9"/>
      <c r="BA130" s="9"/>
      <c r="BB130" s="9"/>
      <c r="BC130" s="9"/>
      <c r="BD130" s="9"/>
      <c r="BE130" s="9"/>
      <c r="BF130"/>
      <c r="BG130" s="9"/>
    </row>
    <row r="131" spans="1:59" s="13" customFormat="1" x14ac:dyDescent="0.25">
      <c r="A131"/>
      <c r="B131"/>
      <c r="C131"/>
      <c r="D131"/>
      <c r="E131"/>
      <c r="F131" s="41"/>
      <c r="G131"/>
      <c r="I131" s="112"/>
      <c r="K131" s="261"/>
      <c r="L131"/>
      <c r="N131"/>
      <c r="P131" s="112"/>
      <c r="R131"/>
      <c r="S131" s="41"/>
      <c r="T131" s="46"/>
      <c r="U131" s="30"/>
      <c r="V131" s="41"/>
      <c r="W131"/>
      <c r="Y131" s="112"/>
      <c r="AB131"/>
      <c r="AC131"/>
      <c r="AE131" s="112"/>
      <c r="AI131"/>
      <c r="AJ131"/>
      <c r="AN131"/>
      <c r="AO131" s="9"/>
      <c r="AP131"/>
      <c r="AQ131" s="9"/>
      <c r="AR131"/>
      <c r="AS131" s="9"/>
      <c r="AT131"/>
      <c r="AU131" s="9"/>
      <c r="AV131" s="9"/>
      <c r="AW131" s="9"/>
      <c r="AX131"/>
      <c r="AY131" s="9"/>
      <c r="AZ131" s="9"/>
      <c r="BA131" s="9"/>
      <c r="BB131" s="9"/>
      <c r="BC131" s="9"/>
      <c r="BD131" s="9"/>
      <c r="BE131" s="9"/>
      <c r="BF131"/>
      <c r="BG131" s="9"/>
    </row>
    <row r="132" spans="1:59" s="13" customFormat="1" x14ac:dyDescent="0.25">
      <c r="A132"/>
      <c r="B132"/>
      <c r="C132"/>
      <c r="D132"/>
      <c r="E132"/>
      <c r="F132" s="41"/>
      <c r="G132"/>
      <c r="I132" s="112"/>
      <c r="K132" s="261"/>
      <c r="L132"/>
      <c r="N132"/>
      <c r="P132" s="112"/>
      <c r="R132"/>
      <c r="S132" s="41"/>
      <c r="T132" s="46"/>
      <c r="U132" s="30"/>
      <c r="V132" s="41"/>
      <c r="W132"/>
      <c r="AB132"/>
      <c r="AC132"/>
      <c r="AI132"/>
      <c r="AJ132"/>
      <c r="AN132"/>
      <c r="AO132" s="9"/>
      <c r="AP132"/>
      <c r="AQ132" s="9"/>
      <c r="AR132"/>
      <c r="AS132" s="9"/>
      <c r="AT132"/>
      <c r="AU132" s="9"/>
      <c r="AV132" s="9"/>
      <c r="AW132" s="9"/>
      <c r="AX132"/>
      <c r="AY132" s="9"/>
      <c r="AZ132" s="9"/>
      <c r="BA132" s="9"/>
      <c r="BB132" s="9"/>
      <c r="BC132" s="9"/>
      <c r="BD132" s="9"/>
      <c r="BE132" s="9"/>
      <c r="BF132"/>
      <c r="BG132" s="9"/>
    </row>
  </sheetData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zoomScaleNormal="100" workbookViewId="0">
      <pane xSplit="3" ySplit="1" topLeftCell="D2" activePane="bottomRight" state="frozen"/>
      <selection pane="topRight" activeCell="F1" sqref="F1"/>
      <selection pane="bottomLeft" activeCell="A7" sqref="A7"/>
      <selection pane="bottomRight" activeCell="D8" sqref="D8"/>
    </sheetView>
  </sheetViews>
  <sheetFormatPr defaultColWidth="8.85546875" defaultRowHeight="15" x14ac:dyDescent="0.25"/>
  <cols>
    <col min="1" max="1" width="3" bestFit="1" customWidth="1"/>
    <col min="2" max="2" width="8" bestFit="1" customWidth="1"/>
    <col min="5" max="5" width="8.85546875" style="9"/>
    <col min="7" max="7" width="8.85546875" style="9"/>
    <col min="9" max="9" width="8.85546875" style="9"/>
    <col min="11" max="13" width="8.85546875" style="9"/>
    <col min="15" max="21" width="8.85546875" style="9"/>
    <col min="23" max="23" width="8.85546875" style="9"/>
  </cols>
  <sheetData>
    <row r="1" spans="2:23" s="6" customFormat="1" x14ac:dyDescent="0.25">
      <c r="D1" s="7" t="s">
        <v>9</v>
      </c>
      <c r="E1" s="9" t="s">
        <v>5</v>
      </c>
      <c r="F1" s="6" t="s">
        <v>153</v>
      </c>
      <c r="G1" s="9" t="s">
        <v>5</v>
      </c>
      <c r="H1" s="6" t="s">
        <v>154</v>
      </c>
      <c r="I1" s="9" t="s">
        <v>5</v>
      </c>
      <c r="J1" s="6" t="s">
        <v>39</v>
      </c>
      <c r="K1" s="9" t="s">
        <v>5</v>
      </c>
      <c r="L1" s="6" t="s">
        <v>155</v>
      </c>
      <c r="M1" s="9" t="s">
        <v>5</v>
      </c>
      <c r="N1" s="6" t="s">
        <v>152</v>
      </c>
      <c r="O1" s="9" t="s">
        <v>5</v>
      </c>
      <c r="P1" s="6" t="s">
        <v>157</v>
      </c>
      <c r="Q1" s="9" t="s">
        <v>5</v>
      </c>
      <c r="R1" s="6" t="s">
        <v>156</v>
      </c>
      <c r="S1" s="9" t="s">
        <v>5</v>
      </c>
      <c r="T1" s="6" t="s">
        <v>158</v>
      </c>
      <c r="U1" s="9" t="s">
        <v>5</v>
      </c>
      <c r="V1" s="6" t="s">
        <v>159</v>
      </c>
      <c r="W1" s="37" t="s">
        <v>5</v>
      </c>
    </row>
    <row r="2" spans="2:23" x14ac:dyDescent="0.25">
      <c r="B2" s="237" t="s">
        <v>18</v>
      </c>
      <c r="C2" s="238">
        <v>42371</v>
      </c>
      <c r="D2" s="3">
        <v>81.3</v>
      </c>
      <c r="F2">
        <v>96</v>
      </c>
      <c r="H2">
        <v>99</v>
      </c>
      <c r="J2">
        <v>99</v>
      </c>
      <c r="L2">
        <v>59</v>
      </c>
      <c r="N2">
        <v>59</v>
      </c>
      <c r="P2">
        <v>42</v>
      </c>
      <c r="R2">
        <v>42</v>
      </c>
      <c r="T2">
        <v>31</v>
      </c>
      <c r="V2">
        <v>30</v>
      </c>
      <c r="W2" s="39"/>
    </row>
    <row r="3" spans="2:23" x14ac:dyDescent="0.25">
      <c r="B3" s="237" t="s">
        <v>18</v>
      </c>
      <c r="C3" s="238">
        <v>42378</v>
      </c>
      <c r="D3" s="3">
        <v>80.599999999999994</v>
      </c>
      <c r="E3" s="9">
        <f t="shared" ref="E3:E33" si="0">$D$2-D3</f>
        <v>0.70000000000000284</v>
      </c>
      <c r="F3">
        <v>94</v>
      </c>
      <c r="G3" s="9">
        <f t="shared" ref="G3:G33" si="1">$F$2-F3</f>
        <v>2</v>
      </c>
      <c r="H3">
        <v>98</v>
      </c>
      <c r="I3" s="9">
        <f t="shared" ref="I3:I33" si="2">$H$2-H3</f>
        <v>1</v>
      </c>
      <c r="J3">
        <v>98</v>
      </c>
      <c r="K3" s="9">
        <f t="shared" ref="K3:K33" si="3">$J$2-J3</f>
        <v>1</v>
      </c>
      <c r="L3">
        <v>59</v>
      </c>
      <c r="M3" s="9">
        <f t="shared" ref="M3:M33" si="4">$L$2-L3</f>
        <v>0</v>
      </c>
      <c r="N3">
        <v>59</v>
      </c>
      <c r="O3" s="9">
        <f t="shared" ref="O3:O33" si="5">$N$2-N3</f>
        <v>0</v>
      </c>
      <c r="P3">
        <v>42</v>
      </c>
      <c r="Q3" s="9">
        <f t="shared" ref="Q3:Q33" si="6">$P$2-P3</f>
        <v>0</v>
      </c>
      <c r="R3">
        <v>41.5</v>
      </c>
      <c r="S3" s="9">
        <f t="shared" ref="S3:S33" si="7">$R$2-R3</f>
        <v>0.5</v>
      </c>
      <c r="T3">
        <v>31</v>
      </c>
      <c r="U3" s="9">
        <f t="shared" ref="U3:U33" si="8">$T$2-T3</f>
        <v>0</v>
      </c>
      <c r="V3">
        <v>30</v>
      </c>
      <c r="W3" s="37">
        <f t="shared" ref="W3:W33" si="9">$V$2-V3</f>
        <v>0</v>
      </c>
    </row>
    <row r="4" spans="2:23" x14ac:dyDescent="0.25">
      <c r="B4" s="237" t="s">
        <v>18</v>
      </c>
      <c r="C4" s="238">
        <v>42385</v>
      </c>
      <c r="D4" s="3">
        <v>79.8</v>
      </c>
      <c r="E4" s="9">
        <f t="shared" si="0"/>
        <v>1.5</v>
      </c>
      <c r="F4">
        <v>93</v>
      </c>
      <c r="G4" s="9">
        <f t="shared" si="1"/>
        <v>3</v>
      </c>
      <c r="H4">
        <v>97</v>
      </c>
      <c r="I4" s="9">
        <f t="shared" si="2"/>
        <v>2</v>
      </c>
      <c r="J4">
        <v>97.5</v>
      </c>
      <c r="K4" s="9">
        <f t="shared" si="3"/>
        <v>1.5</v>
      </c>
      <c r="L4">
        <v>59</v>
      </c>
      <c r="M4" s="9">
        <f t="shared" si="4"/>
        <v>0</v>
      </c>
      <c r="N4">
        <v>59</v>
      </c>
      <c r="O4" s="9">
        <f t="shared" si="5"/>
        <v>0</v>
      </c>
      <c r="P4">
        <v>41</v>
      </c>
      <c r="Q4" s="9">
        <f t="shared" si="6"/>
        <v>1</v>
      </c>
      <c r="R4">
        <v>41</v>
      </c>
      <c r="S4" s="9">
        <f t="shared" si="7"/>
        <v>1</v>
      </c>
      <c r="T4">
        <v>31</v>
      </c>
      <c r="U4" s="9">
        <f t="shared" si="8"/>
        <v>0</v>
      </c>
      <c r="V4">
        <v>29.5</v>
      </c>
      <c r="W4" s="37">
        <f t="shared" si="9"/>
        <v>0.5</v>
      </c>
    </row>
    <row r="5" spans="2:23" x14ac:dyDescent="0.25">
      <c r="B5" s="237" t="s">
        <v>18</v>
      </c>
      <c r="C5" s="238">
        <v>42392</v>
      </c>
      <c r="D5" s="3">
        <v>81.5</v>
      </c>
      <c r="E5" s="9">
        <f t="shared" si="0"/>
        <v>-0.20000000000000284</v>
      </c>
      <c r="F5">
        <v>93</v>
      </c>
      <c r="G5" s="9">
        <f t="shared" si="1"/>
        <v>3</v>
      </c>
      <c r="H5">
        <v>98</v>
      </c>
      <c r="I5" s="9">
        <f t="shared" si="2"/>
        <v>1</v>
      </c>
      <c r="J5">
        <v>98</v>
      </c>
      <c r="K5" s="9">
        <f t="shared" si="3"/>
        <v>1</v>
      </c>
      <c r="L5">
        <v>59.5</v>
      </c>
      <c r="M5" s="9">
        <f t="shared" si="4"/>
        <v>-0.5</v>
      </c>
      <c r="N5">
        <v>59</v>
      </c>
      <c r="O5" s="9">
        <f t="shared" si="5"/>
        <v>0</v>
      </c>
      <c r="P5">
        <v>42</v>
      </c>
      <c r="Q5" s="9">
        <f t="shared" si="6"/>
        <v>0</v>
      </c>
      <c r="R5">
        <v>41</v>
      </c>
      <c r="S5" s="9">
        <f t="shared" si="7"/>
        <v>1</v>
      </c>
      <c r="T5">
        <v>31.5</v>
      </c>
      <c r="U5" s="9">
        <f t="shared" si="8"/>
        <v>-0.5</v>
      </c>
      <c r="V5">
        <v>30</v>
      </c>
      <c r="W5" s="37">
        <f t="shared" si="9"/>
        <v>0</v>
      </c>
    </row>
    <row r="6" spans="2:23" x14ac:dyDescent="0.25">
      <c r="B6" s="237" t="s">
        <v>18</v>
      </c>
      <c r="C6" s="238">
        <v>42399</v>
      </c>
      <c r="D6" s="189">
        <v>80.3</v>
      </c>
      <c r="E6" s="9">
        <f t="shared" si="0"/>
        <v>1</v>
      </c>
      <c r="F6">
        <v>93</v>
      </c>
      <c r="G6" s="9">
        <f t="shared" si="1"/>
        <v>3</v>
      </c>
      <c r="H6">
        <v>98</v>
      </c>
      <c r="I6" s="9">
        <f t="shared" si="2"/>
        <v>1</v>
      </c>
      <c r="J6">
        <v>98</v>
      </c>
      <c r="K6" s="9">
        <f t="shared" si="3"/>
        <v>1</v>
      </c>
      <c r="L6">
        <v>59</v>
      </c>
      <c r="M6" s="9">
        <f t="shared" si="4"/>
        <v>0</v>
      </c>
      <c r="N6">
        <v>59.5</v>
      </c>
      <c r="O6" s="9">
        <f t="shared" si="5"/>
        <v>-0.5</v>
      </c>
      <c r="P6">
        <v>42</v>
      </c>
      <c r="Q6" s="9">
        <f t="shared" si="6"/>
        <v>0</v>
      </c>
      <c r="R6">
        <v>42</v>
      </c>
      <c r="S6" s="9">
        <f t="shared" si="7"/>
        <v>0</v>
      </c>
      <c r="T6">
        <v>32</v>
      </c>
      <c r="U6" s="9">
        <f t="shared" si="8"/>
        <v>-1</v>
      </c>
      <c r="V6">
        <v>30</v>
      </c>
      <c r="W6" s="37">
        <f t="shared" si="9"/>
        <v>0</v>
      </c>
    </row>
    <row r="7" spans="2:23" x14ac:dyDescent="0.25">
      <c r="B7" s="237" t="s">
        <v>18</v>
      </c>
      <c r="C7" s="238">
        <v>42406</v>
      </c>
      <c r="D7" s="189">
        <v>79.900000000000006</v>
      </c>
      <c r="E7" s="9">
        <f t="shared" si="0"/>
        <v>1.3999999999999915</v>
      </c>
      <c r="F7">
        <v>93</v>
      </c>
      <c r="G7" s="9">
        <f t="shared" si="1"/>
        <v>3</v>
      </c>
      <c r="H7">
        <v>98</v>
      </c>
      <c r="I7" s="9">
        <f t="shared" si="2"/>
        <v>1</v>
      </c>
      <c r="J7">
        <v>98</v>
      </c>
      <c r="K7" s="9">
        <f t="shared" si="3"/>
        <v>1</v>
      </c>
      <c r="L7">
        <v>58.5</v>
      </c>
      <c r="M7" s="9">
        <f t="shared" si="4"/>
        <v>0.5</v>
      </c>
      <c r="N7">
        <v>59.5</v>
      </c>
      <c r="O7" s="9">
        <f t="shared" si="5"/>
        <v>-0.5</v>
      </c>
      <c r="P7">
        <v>41.5</v>
      </c>
      <c r="Q7" s="9">
        <f t="shared" si="6"/>
        <v>0.5</v>
      </c>
      <c r="R7">
        <v>41</v>
      </c>
      <c r="S7" s="9">
        <f t="shared" si="7"/>
        <v>1</v>
      </c>
      <c r="T7">
        <v>32</v>
      </c>
      <c r="U7" s="9">
        <f t="shared" si="8"/>
        <v>-1</v>
      </c>
      <c r="V7">
        <v>30</v>
      </c>
      <c r="W7" s="37">
        <f t="shared" si="9"/>
        <v>0</v>
      </c>
    </row>
    <row r="8" spans="2:23" x14ac:dyDescent="0.25">
      <c r="B8" s="237" t="s">
        <v>18</v>
      </c>
      <c r="C8" s="238">
        <v>42413</v>
      </c>
      <c r="E8" s="9">
        <f t="shared" si="0"/>
        <v>81.3</v>
      </c>
      <c r="G8" s="9">
        <f t="shared" si="1"/>
        <v>96</v>
      </c>
      <c r="I8" s="9">
        <f t="shared" si="2"/>
        <v>99</v>
      </c>
      <c r="K8" s="9">
        <f t="shared" si="3"/>
        <v>99</v>
      </c>
      <c r="L8"/>
      <c r="M8" s="9">
        <f t="shared" si="4"/>
        <v>59</v>
      </c>
      <c r="O8" s="9">
        <f t="shared" si="5"/>
        <v>59</v>
      </c>
      <c r="P8"/>
      <c r="Q8" s="9">
        <f t="shared" si="6"/>
        <v>42</v>
      </c>
      <c r="R8"/>
      <c r="S8" s="9">
        <f t="shared" si="7"/>
        <v>42</v>
      </c>
      <c r="T8"/>
      <c r="U8" s="9">
        <f t="shared" si="8"/>
        <v>31</v>
      </c>
      <c r="W8" s="37">
        <f t="shared" si="9"/>
        <v>30</v>
      </c>
    </row>
    <row r="9" spans="2:23" x14ac:dyDescent="0.25">
      <c r="B9" s="237" t="s">
        <v>18</v>
      </c>
      <c r="C9" s="238">
        <v>42420</v>
      </c>
      <c r="E9" s="9">
        <f t="shared" si="0"/>
        <v>81.3</v>
      </c>
      <c r="G9" s="9">
        <f t="shared" si="1"/>
        <v>96</v>
      </c>
      <c r="I9" s="9">
        <f t="shared" si="2"/>
        <v>99</v>
      </c>
      <c r="K9" s="9">
        <f t="shared" si="3"/>
        <v>99</v>
      </c>
      <c r="L9"/>
      <c r="M9" s="9">
        <f t="shared" si="4"/>
        <v>59</v>
      </c>
      <c r="O9" s="9">
        <f t="shared" si="5"/>
        <v>59</v>
      </c>
      <c r="P9"/>
      <c r="Q9" s="9">
        <f t="shared" si="6"/>
        <v>42</v>
      </c>
      <c r="R9"/>
      <c r="S9" s="9">
        <f t="shared" si="7"/>
        <v>42</v>
      </c>
      <c r="T9"/>
      <c r="U9" s="9">
        <f t="shared" si="8"/>
        <v>31</v>
      </c>
      <c r="W9" s="37">
        <f t="shared" si="9"/>
        <v>30</v>
      </c>
    </row>
    <row r="10" spans="2:23" x14ac:dyDescent="0.25">
      <c r="B10" s="237" t="s">
        <v>18</v>
      </c>
      <c r="C10" s="238">
        <v>42427</v>
      </c>
      <c r="E10" s="9">
        <f t="shared" si="0"/>
        <v>81.3</v>
      </c>
      <c r="G10" s="9">
        <f t="shared" si="1"/>
        <v>96</v>
      </c>
      <c r="I10" s="9">
        <f t="shared" si="2"/>
        <v>99</v>
      </c>
      <c r="K10" s="9">
        <f t="shared" si="3"/>
        <v>99</v>
      </c>
      <c r="L10"/>
      <c r="M10" s="9">
        <f t="shared" si="4"/>
        <v>59</v>
      </c>
      <c r="O10" s="9">
        <f t="shared" si="5"/>
        <v>59</v>
      </c>
      <c r="P10"/>
      <c r="Q10" s="9">
        <f t="shared" si="6"/>
        <v>42</v>
      </c>
      <c r="R10"/>
      <c r="S10" s="9">
        <f t="shared" si="7"/>
        <v>42</v>
      </c>
      <c r="T10"/>
      <c r="U10" s="9">
        <f t="shared" si="8"/>
        <v>31</v>
      </c>
      <c r="W10" s="37">
        <f t="shared" si="9"/>
        <v>30</v>
      </c>
    </row>
    <row r="11" spans="2:23" x14ac:dyDescent="0.25">
      <c r="B11" s="237" t="s">
        <v>18</v>
      </c>
      <c r="C11" s="238">
        <v>42434</v>
      </c>
      <c r="E11" s="9">
        <f t="shared" si="0"/>
        <v>81.3</v>
      </c>
      <c r="G11" s="9">
        <f t="shared" si="1"/>
        <v>96</v>
      </c>
      <c r="I11" s="9">
        <f t="shared" si="2"/>
        <v>99</v>
      </c>
      <c r="K11" s="9">
        <f t="shared" si="3"/>
        <v>99</v>
      </c>
      <c r="L11"/>
      <c r="M11" s="9">
        <f t="shared" si="4"/>
        <v>59</v>
      </c>
      <c r="O11" s="9">
        <f t="shared" si="5"/>
        <v>59</v>
      </c>
      <c r="P11"/>
      <c r="Q11" s="9">
        <f t="shared" si="6"/>
        <v>42</v>
      </c>
      <c r="R11"/>
      <c r="S11" s="9">
        <f t="shared" si="7"/>
        <v>42</v>
      </c>
      <c r="T11"/>
      <c r="U11" s="9">
        <f t="shared" si="8"/>
        <v>31</v>
      </c>
      <c r="W11" s="37">
        <f t="shared" si="9"/>
        <v>30</v>
      </c>
    </row>
    <row r="12" spans="2:23" x14ac:dyDescent="0.25">
      <c r="B12" s="237" t="s">
        <v>18</v>
      </c>
      <c r="C12" s="238">
        <v>42441</v>
      </c>
      <c r="E12" s="9">
        <f t="shared" si="0"/>
        <v>81.3</v>
      </c>
      <c r="G12" s="9">
        <f t="shared" si="1"/>
        <v>96</v>
      </c>
      <c r="I12" s="9">
        <f t="shared" si="2"/>
        <v>99</v>
      </c>
      <c r="K12" s="9">
        <f t="shared" si="3"/>
        <v>99</v>
      </c>
      <c r="L12"/>
      <c r="M12" s="9">
        <f t="shared" si="4"/>
        <v>59</v>
      </c>
      <c r="O12" s="9">
        <f t="shared" si="5"/>
        <v>59</v>
      </c>
      <c r="P12"/>
      <c r="Q12" s="9">
        <f t="shared" si="6"/>
        <v>42</v>
      </c>
      <c r="R12"/>
      <c r="S12" s="9">
        <f t="shared" si="7"/>
        <v>42</v>
      </c>
      <c r="T12"/>
      <c r="U12" s="9">
        <f t="shared" si="8"/>
        <v>31</v>
      </c>
      <c r="W12" s="37">
        <f t="shared" si="9"/>
        <v>30</v>
      </c>
    </row>
    <row r="13" spans="2:23" x14ac:dyDescent="0.25">
      <c r="B13" s="237" t="s">
        <v>18</v>
      </c>
      <c r="C13" s="238">
        <v>42448</v>
      </c>
      <c r="E13" s="9">
        <f t="shared" si="0"/>
        <v>81.3</v>
      </c>
      <c r="G13" s="9">
        <f t="shared" si="1"/>
        <v>96</v>
      </c>
      <c r="I13" s="9">
        <f t="shared" si="2"/>
        <v>99</v>
      </c>
      <c r="K13" s="9">
        <f t="shared" si="3"/>
        <v>99</v>
      </c>
      <c r="L13"/>
      <c r="M13" s="9">
        <f t="shared" si="4"/>
        <v>59</v>
      </c>
      <c r="O13" s="9">
        <f t="shared" si="5"/>
        <v>59</v>
      </c>
      <c r="P13"/>
      <c r="Q13" s="9">
        <f t="shared" si="6"/>
        <v>42</v>
      </c>
      <c r="R13"/>
      <c r="S13" s="9">
        <f t="shared" si="7"/>
        <v>42</v>
      </c>
      <c r="T13"/>
      <c r="U13" s="9">
        <f t="shared" si="8"/>
        <v>31</v>
      </c>
      <c r="W13" s="37">
        <f t="shared" si="9"/>
        <v>30</v>
      </c>
    </row>
    <row r="14" spans="2:23" x14ac:dyDescent="0.25">
      <c r="B14" s="237" t="s">
        <v>18</v>
      </c>
      <c r="C14" s="238">
        <v>42455</v>
      </c>
      <c r="E14" s="9">
        <f t="shared" si="0"/>
        <v>81.3</v>
      </c>
      <c r="G14" s="9">
        <f t="shared" si="1"/>
        <v>96</v>
      </c>
      <c r="I14" s="9">
        <f t="shared" si="2"/>
        <v>99</v>
      </c>
      <c r="K14" s="9">
        <f t="shared" si="3"/>
        <v>99</v>
      </c>
      <c r="L14"/>
      <c r="M14" s="9">
        <f t="shared" si="4"/>
        <v>59</v>
      </c>
      <c r="O14" s="9">
        <f t="shared" si="5"/>
        <v>59</v>
      </c>
      <c r="P14"/>
      <c r="Q14" s="9">
        <f t="shared" si="6"/>
        <v>42</v>
      </c>
      <c r="R14"/>
      <c r="S14" s="9">
        <f t="shared" si="7"/>
        <v>42</v>
      </c>
      <c r="T14"/>
      <c r="U14" s="9">
        <f t="shared" si="8"/>
        <v>31</v>
      </c>
      <c r="W14" s="37">
        <f t="shared" si="9"/>
        <v>30</v>
      </c>
    </row>
    <row r="15" spans="2:23" x14ac:dyDescent="0.25">
      <c r="B15" s="237" t="s">
        <v>18</v>
      </c>
      <c r="C15" s="238">
        <v>42462</v>
      </c>
      <c r="E15" s="9">
        <f t="shared" si="0"/>
        <v>81.3</v>
      </c>
      <c r="G15" s="9">
        <f t="shared" si="1"/>
        <v>96</v>
      </c>
      <c r="I15" s="9">
        <f t="shared" si="2"/>
        <v>99</v>
      </c>
      <c r="K15" s="9">
        <f t="shared" si="3"/>
        <v>99</v>
      </c>
      <c r="L15"/>
      <c r="M15" s="9">
        <f t="shared" si="4"/>
        <v>59</v>
      </c>
      <c r="O15" s="9">
        <f t="shared" si="5"/>
        <v>59</v>
      </c>
      <c r="P15"/>
      <c r="Q15" s="9">
        <f t="shared" si="6"/>
        <v>42</v>
      </c>
      <c r="R15"/>
      <c r="S15" s="9">
        <f t="shared" si="7"/>
        <v>42</v>
      </c>
      <c r="T15"/>
      <c r="U15" s="9">
        <f t="shared" si="8"/>
        <v>31</v>
      </c>
      <c r="W15" s="37">
        <f t="shared" si="9"/>
        <v>30</v>
      </c>
    </row>
    <row r="16" spans="2:23" x14ac:dyDescent="0.25">
      <c r="B16" s="237" t="s">
        <v>18</v>
      </c>
      <c r="C16" s="238">
        <v>42469</v>
      </c>
      <c r="E16" s="9">
        <f t="shared" si="0"/>
        <v>81.3</v>
      </c>
      <c r="G16" s="9">
        <f t="shared" si="1"/>
        <v>96</v>
      </c>
      <c r="I16" s="9">
        <f t="shared" si="2"/>
        <v>99</v>
      </c>
      <c r="K16" s="9">
        <f t="shared" si="3"/>
        <v>99</v>
      </c>
      <c r="L16"/>
      <c r="M16" s="9">
        <f t="shared" si="4"/>
        <v>59</v>
      </c>
      <c r="O16" s="9">
        <f t="shared" si="5"/>
        <v>59</v>
      </c>
      <c r="P16"/>
      <c r="Q16" s="9">
        <f t="shared" si="6"/>
        <v>42</v>
      </c>
      <c r="R16"/>
      <c r="S16" s="9">
        <f t="shared" si="7"/>
        <v>42</v>
      </c>
      <c r="T16"/>
      <c r="U16" s="9">
        <f t="shared" si="8"/>
        <v>31</v>
      </c>
      <c r="W16" s="37">
        <f t="shared" si="9"/>
        <v>30</v>
      </c>
    </row>
    <row r="17" spans="2:23" x14ac:dyDescent="0.25">
      <c r="B17" s="237" t="s">
        <v>18</v>
      </c>
      <c r="C17" s="238">
        <v>42476</v>
      </c>
      <c r="E17" s="9">
        <f t="shared" si="0"/>
        <v>81.3</v>
      </c>
      <c r="G17" s="9">
        <f t="shared" si="1"/>
        <v>96</v>
      </c>
      <c r="I17" s="9">
        <f t="shared" si="2"/>
        <v>99</v>
      </c>
      <c r="K17" s="9">
        <f t="shared" si="3"/>
        <v>99</v>
      </c>
      <c r="L17"/>
      <c r="M17" s="9">
        <f t="shared" si="4"/>
        <v>59</v>
      </c>
      <c r="O17" s="9">
        <f t="shared" si="5"/>
        <v>59</v>
      </c>
      <c r="P17"/>
      <c r="Q17" s="9">
        <f t="shared" si="6"/>
        <v>42</v>
      </c>
      <c r="R17"/>
      <c r="S17" s="9">
        <f t="shared" si="7"/>
        <v>42</v>
      </c>
      <c r="T17"/>
      <c r="U17" s="9">
        <f t="shared" si="8"/>
        <v>31</v>
      </c>
      <c r="W17" s="37">
        <f t="shared" si="9"/>
        <v>30</v>
      </c>
    </row>
    <row r="18" spans="2:23" x14ac:dyDescent="0.25">
      <c r="B18" s="237" t="s">
        <v>18</v>
      </c>
      <c r="C18" s="238">
        <v>42483</v>
      </c>
      <c r="E18" s="9">
        <f t="shared" si="0"/>
        <v>81.3</v>
      </c>
      <c r="G18" s="9">
        <f t="shared" si="1"/>
        <v>96</v>
      </c>
      <c r="I18" s="9">
        <f t="shared" si="2"/>
        <v>99</v>
      </c>
      <c r="K18" s="9">
        <f t="shared" si="3"/>
        <v>99</v>
      </c>
      <c r="L18"/>
      <c r="M18" s="9">
        <f t="shared" si="4"/>
        <v>59</v>
      </c>
      <c r="O18" s="9">
        <f t="shared" si="5"/>
        <v>59</v>
      </c>
      <c r="P18"/>
      <c r="Q18" s="9">
        <f t="shared" si="6"/>
        <v>42</v>
      </c>
      <c r="R18"/>
      <c r="S18" s="9">
        <f t="shared" si="7"/>
        <v>42</v>
      </c>
      <c r="T18"/>
      <c r="U18" s="9">
        <f t="shared" si="8"/>
        <v>31</v>
      </c>
      <c r="W18" s="37">
        <f t="shared" si="9"/>
        <v>30</v>
      </c>
    </row>
    <row r="19" spans="2:23" x14ac:dyDescent="0.25">
      <c r="B19" s="237" t="s">
        <v>18</v>
      </c>
      <c r="C19" s="238">
        <v>42490</v>
      </c>
      <c r="E19" s="9">
        <f t="shared" si="0"/>
        <v>81.3</v>
      </c>
      <c r="G19" s="9">
        <f t="shared" si="1"/>
        <v>96</v>
      </c>
      <c r="I19" s="9">
        <f t="shared" si="2"/>
        <v>99</v>
      </c>
      <c r="K19" s="9">
        <f t="shared" si="3"/>
        <v>99</v>
      </c>
      <c r="L19"/>
      <c r="M19" s="9">
        <f t="shared" si="4"/>
        <v>59</v>
      </c>
      <c r="O19" s="9">
        <f t="shared" si="5"/>
        <v>59</v>
      </c>
      <c r="P19"/>
      <c r="Q19" s="9">
        <f t="shared" si="6"/>
        <v>42</v>
      </c>
      <c r="R19"/>
      <c r="S19" s="9">
        <f t="shared" si="7"/>
        <v>42</v>
      </c>
      <c r="T19"/>
      <c r="U19" s="9">
        <f t="shared" si="8"/>
        <v>31</v>
      </c>
      <c r="W19" s="37">
        <f t="shared" si="9"/>
        <v>30</v>
      </c>
    </row>
    <row r="20" spans="2:23" x14ac:dyDescent="0.25">
      <c r="B20" s="237" t="s">
        <v>18</v>
      </c>
      <c r="C20" s="238">
        <v>42497</v>
      </c>
      <c r="E20" s="9">
        <f t="shared" si="0"/>
        <v>81.3</v>
      </c>
      <c r="G20" s="9">
        <f t="shared" si="1"/>
        <v>96</v>
      </c>
      <c r="I20" s="9">
        <f t="shared" si="2"/>
        <v>99</v>
      </c>
      <c r="K20" s="9">
        <f t="shared" si="3"/>
        <v>99</v>
      </c>
      <c r="L20"/>
      <c r="M20" s="9">
        <f t="shared" si="4"/>
        <v>59</v>
      </c>
      <c r="O20" s="9">
        <f t="shared" si="5"/>
        <v>59</v>
      </c>
      <c r="P20"/>
      <c r="Q20" s="9">
        <f t="shared" si="6"/>
        <v>42</v>
      </c>
      <c r="R20"/>
      <c r="S20" s="9">
        <f t="shared" si="7"/>
        <v>42</v>
      </c>
      <c r="T20"/>
      <c r="U20" s="9">
        <f t="shared" si="8"/>
        <v>31</v>
      </c>
      <c r="W20" s="37">
        <f t="shared" si="9"/>
        <v>30</v>
      </c>
    </row>
    <row r="21" spans="2:23" x14ac:dyDescent="0.25">
      <c r="B21" s="237" t="s">
        <v>18</v>
      </c>
      <c r="C21" s="238">
        <v>42504</v>
      </c>
      <c r="E21" s="9">
        <f t="shared" si="0"/>
        <v>81.3</v>
      </c>
      <c r="G21" s="9">
        <f t="shared" si="1"/>
        <v>96</v>
      </c>
      <c r="I21" s="9">
        <f t="shared" si="2"/>
        <v>99</v>
      </c>
      <c r="K21" s="9">
        <f t="shared" si="3"/>
        <v>99</v>
      </c>
      <c r="L21"/>
      <c r="M21" s="9">
        <f t="shared" si="4"/>
        <v>59</v>
      </c>
      <c r="O21" s="9">
        <f t="shared" si="5"/>
        <v>59</v>
      </c>
      <c r="P21"/>
      <c r="Q21" s="9">
        <f t="shared" si="6"/>
        <v>42</v>
      </c>
      <c r="R21"/>
      <c r="S21" s="9">
        <f t="shared" si="7"/>
        <v>42</v>
      </c>
      <c r="T21"/>
      <c r="U21" s="9">
        <f t="shared" si="8"/>
        <v>31</v>
      </c>
      <c r="W21" s="37">
        <f t="shared" si="9"/>
        <v>30</v>
      </c>
    </row>
    <row r="22" spans="2:23" x14ac:dyDescent="0.25">
      <c r="B22" s="237" t="s">
        <v>18</v>
      </c>
      <c r="C22" s="238">
        <v>42511</v>
      </c>
      <c r="E22" s="9">
        <f t="shared" si="0"/>
        <v>81.3</v>
      </c>
      <c r="G22" s="9">
        <f t="shared" si="1"/>
        <v>96</v>
      </c>
      <c r="I22" s="9">
        <f t="shared" si="2"/>
        <v>99</v>
      </c>
      <c r="K22" s="9">
        <f t="shared" si="3"/>
        <v>99</v>
      </c>
      <c r="L22"/>
      <c r="M22" s="9">
        <f t="shared" si="4"/>
        <v>59</v>
      </c>
      <c r="O22" s="9">
        <f t="shared" si="5"/>
        <v>59</v>
      </c>
      <c r="P22"/>
      <c r="Q22" s="9">
        <f t="shared" si="6"/>
        <v>42</v>
      </c>
      <c r="R22"/>
      <c r="S22" s="9">
        <f t="shared" si="7"/>
        <v>42</v>
      </c>
      <c r="T22"/>
      <c r="U22" s="9">
        <f t="shared" si="8"/>
        <v>31</v>
      </c>
      <c r="W22" s="37">
        <f t="shared" si="9"/>
        <v>30</v>
      </c>
    </row>
    <row r="23" spans="2:23" x14ac:dyDescent="0.25">
      <c r="B23" s="237" t="s">
        <v>18</v>
      </c>
      <c r="C23" s="238">
        <v>42518</v>
      </c>
      <c r="E23" s="9">
        <f t="shared" si="0"/>
        <v>81.3</v>
      </c>
      <c r="G23" s="9">
        <f t="shared" si="1"/>
        <v>96</v>
      </c>
      <c r="I23" s="9">
        <f t="shared" si="2"/>
        <v>99</v>
      </c>
      <c r="K23" s="9">
        <f t="shared" si="3"/>
        <v>99</v>
      </c>
      <c r="L23"/>
      <c r="M23" s="9">
        <f t="shared" si="4"/>
        <v>59</v>
      </c>
      <c r="O23" s="9">
        <f t="shared" si="5"/>
        <v>59</v>
      </c>
      <c r="P23"/>
      <c r="Q23" s="9">
        <f t="shared" si="6"/>
        <v>42</v>
      </c>
      <c r="R23"/>
      <c r="S23" s="9">
        <f t="shared" si="7"/>
        <v>42</v>
      </c>
      <c r="T23"/>
      <c r="U23" s="9">
        <f t="shared" si="8"/>
        <v>31</v>
      </c>
      <c r="W23" s="37">
        <f t="shared" si="9"/>
        <v>30</v>
      </c>
    </row>
    <row r="24" spans="2:23" x14ac:dyDescent="0.25">
      <c r="B24" s="237" t="s">
        <v>18</v>
      </c>
      <c r="C24" s="238">
        <v>42525</v>
      </c>
      <c r="E24" s="9">
        <f t="shared" si="0"/>
        <v>81.3</v>
      </c>
      <c r="G24" s="9">
        <f t="shared" si="1"/>
        <v>96</v>
      </c>
      <c r="I24" s="9">
        <f t="shared" si="2"/>
        <v>99</v>
      </c>
      <c r="K24" s="9">
        <f t="shared" si="3"/>
        <v>99</v>
      </c>
      <c r="L24"/>
      <c r="M24" s="9">
        <f t="shared" si="4"/>
        <v>59</v>
      </c>
      <c r="O24" s="9">
        <f t="shared" si="5"/>
        <v>59</v>
      </c>
      <c r="P24"/>
      <c r="Q24" s="9">
        <f t="shared" si="6"/>
        <v>42</v>
      </c>
      <c r="R24"/>
      <c r="S24" s="9">
        <f t="shared" si="7"/>
        <v>42</v>
      </c>
      <c r="T24"/>
      <c r="U24" s="9">
        <f t="shared" si="8"/>
        <v>31</v>
      </c>
      <c r="W24" s="37">
        <f t="shared" si="9"/>
        <v>30</v>
      </c>
    </row>
    <row r="25" spans="2:23" x14ac:dyDescent="0.25">
      <c r="B25" s="237" t="s">
        <v>18</v>
      </c>
      <c r="C25" s="238">
        <v>42532</v>
      </c>
      <c r="E25" s="9">
        <f t="shared" si="0"/>
        <v>81.3</v>
      </c>
      <c r="G25" s="9">
        <f t="shared" si="1"/>
        <v>96</v>
      </c>
      <c r="I25" s="9">
        <f t="shared" si="2"/>
        <v>99</v>
      </c>
      <c r="K25" s="9">
        <f t="shared" si="3"/>
        <v>99</v>
      </c>
      <c r="L25"/>
      <c r="M25" s="9">
        <f t="shared" si="4"/>
        <v>59</v>
      </c>
      <c r="O25" s="9">
        <f t="shared" si="5"/>
        <v>59</v>
      </c>
      <c r="P25"/>
      <c r="Q25" s="9">
        <f t="shared" si="6"/>
        <v>42</v>
      </c>
      <c r="R25"/>
      <c r="S25" s="9">
        <f t="shared" si="7"/>
        <v>42</v>
      </c>
      <c r="T25"/>
      <c r="U25" s="9">
        <f t="shared" si="8"/>
        <v>31</v>
      </c>
      <c r="W25" s="37">
        <f t="shared" si="9"/>
        <v>30</v>
      </c>
    </row>
    <row r="26" spans="2:23" x14ac:dyDescent="0.25">
      <c r="B26" s="237" t="s">
        <v>18</v>
      </c>
      <c r="C26" s="238">
        <v>42539</v>
      </c>
      <c r="E26" s="9">
        <f t="shared" si="0"/>
        <v>81.3</v>
      </c>
      <c r="G26" s="9">
        <f t="shared" si="1"/>
        <v>96</v>
      </c>
      <c r="I26" s="9">
        <f t="shared" si="2"/>
        <v>99</v>
      </c>
      <c r="K26" s="9">
        <f t="shared" si="3"/>
        <v>99</v>
      </c>
      <c r="L26"/>
      <c r="M26" s="9">
        <f t="shared" si="4"/>
        <v>59</v>
      </c>
      <c r="O26" s="9">
        <f t="shared" si="5"/>
        <v>59</v>
      </c>
      <c r="P26"/>
      <c r="Q26" s="9">
        <f t="shared" si="6"/>
        <v>42</v>
      </c>
      <c r="R26"/>
      <c r="S26" s="9">
        <f t="shared" si="7"/>
        <v>42</v>
      </c>
      <c r="T26"/>
      <c r="U26" s="9">
        <f t="shared" si="8"/>
        <v>31</v>
      </c>
      <c r="W26" s="37">
        <f t="shared" si="9"/>
        <v>30</v>
      </c>
    </row>
    <row r="27" spans="2:23" x14ac:dyDescent="0.25">
      <c r="B27" s="237" t="s">
        <v>18</v>
      </c>
      <c r="C27" s="238">
        <v>42546</v>
      </c>
      <c r="E27" s="9">
        <f t="shared" si="0"/>
        <v>81.3</v>
      </c>
      <c r="G27" s="9">
        <f t="shared" si="1"/>
        <v>96</v>
      </c>
      <c r="I27" s="9">
        <f t="shared" si="2"/>
        <v>99</v>
      </c>
      <c r="K27" s="9">
        <f t="shared" si="3"/>
        <v>99</v>
      </c>
      <c r="L27"/>
      <c r="M27" s="9">
        <f t="shared" si="4"/>
        <v>59</v>
      </c>
      <c r="O27" s="9">
        <f t="shared" si="5"/>
        <v>59</v>
      </c>
      <c r="P27"/>
      <c r="Q27" s="9">
        <f t="shared" si="6"/>
        <v>42</v>
      </c>
      <c r="R27"/>
      <c r="S27" s="9">
        <f t="shared" si="7"/>
        <v>42</v>
      </c>
      <c r="T27"/>
      <c r="U27" s="9">
        <f t="shared" si="8"/>
        <v>31</v>
      </c>
      <c r="W27" s="37">
        <f t="shared" si="9"/>
        <v>30</v>
      </c>
    </row>
    <row r="28" spans="2:23" x14ac:dyDescent="0.25">
      <c r="B28" s="237" t="s">
        <v>18</v>
      </c>
      <c r="C28" s="238">
        <v>42553</v>
      </c>
      <c r="E28" s="9">
        <f t="shared" si="0"/>
        <v>81.3</v>
      </c>
      <c r="G28" s="9">
        <f t="shared" si="1"/>
        <v>96</v>
      </c>
      <c r="I28" s="9">
        <f t="shared" si="2"/>
        <v>99</v>
      </c>
      <c r="K28" s="9">
        <f t="shared" si="3"/>
        <v>99</v>
      </c>
      <c r="L28"/>
      <c r="M28" s="9">
        <f t="shared" si="4"/>
        <v>59</v>
      </c>
      <c r="O28" s="9">
        <f t="shared" si="5"/>
        <v>59</v>
      </c>
      <c r="P28"/>
      <c r="Q28" s="9">
        <f t="shared" si="6"/>
        <v>42</v>
      </c>
      <c r="R28"/>
      <c r="S28" s="9">
        <f t="shared" si="7"/>
        <v>42</v>
      </c>
      <c r="T28"/>
      <c r="U28" s="9">
        <f t="shared" si="8"/>
        <v>31</v>
      </c>
      <c r="W28" s="37">
        <f t="shared" si="9"/>
        <v>30</v>
      </c>
    </row>
    <row r="29" spans="2:23" x14ac:dyDescent="0.25">
      <c r="B29" s="237" t="s">
        <v>18</v>
      </c>
      <c r="C29" s="238">
        <v>42560</v>
      </c>
      <c r="E29" s="9">
        <f t="shared" si="0"/>
        <v>81.3</v>
      </c>
      <c r="G29" s="9">
        <f t="shared" si="1"/>
        <v>96</v>
      </c>
      <c r="I29" s="9">
        <f t="shared" si="2"/>
        <v>99</v>
      </c>
      <c r="K29" s="9">
        <f t="shared" si="3"/>
        <v>99</v>
      </c>
      <c r="L29"/>
      <c r="M29" s="9">
        <f t="shared" si="4"/>
        <v>59</v>
      </c>
      <c r="O29" s="9">
        <f t="shared" si="5"/>
        <v>59</v>
      </c>
      <c r="P29"/>
      <c r="Q29" s="9">
        <f t="shared" si="6"/>
        <v>42</v>
      </c>
      <c r="R29"/>
      <c r="S29" s="9">
        <f t="shared" si="7"/>
        <v>42</v>
      </c>
      <c r="T29"/>
      <c r="U29" s="9">
        <f t="shared" si="8"/>
        <v>31</v>
      </c>
      <c r="W29" s="37">
        <f t="shared" si="9"/>
        <v>30</v>
      </c>
    </row>
    <row r="30" spans="2:23" x14ac:dyDescent="0.25">
      <c r="B30" s="237" t="s">
        <v>18</v>
      </c>
      <c r="C30" s="238">
        <v>42567</v>
      </c>
      <c r="E30" s="9">
        <f t="shared" si="0"/>
        <v>81.3</v>
      </c>
      <c r="G30" s="9">
        <f t="shared" si="1"/>
        <v>96</v>
      </c>
      <c r="I30" s="9">
        <f t="shared" si="2"/>
        <v>99</v>
      </c>
      <c r="K30" s="9">
        <f t="shared" si="3"/>
        <v>99</v>
      </c>
      <c r="L30"/>
      <c r="M30" s="9">
        <f t="shared" si="4"/>
        <v>59</v>
      </c>
      <c r="O30" s="9">
        <f t="shared" si="5"/>
        <v>59</v>
      </c>
      <c r="P30"/>
      <c r="Q30" s="9">
        <f t="shared" si="6"/>
        <v>42</v>
      </c>
      <c r="R30"/>
      <c r="S30" s="9">
        <f t="shared" si="7"/>
        <v>42</v>
      </c>
      <c r="T30"/>
      <c r="U30" s="9">
        <f t="shared" si="8"/>
        <v>31</v>
      </c>
      <c r="W30" s="37">
        <f t="shared" si="9"/>
        <v>30</v>
      </c>
    </row>
    <row r="31" spans="2:23" x14ac:dyDescent="0.25">
      <c r="B31" s="237" t="s">
        <v>18</v>
      </c>
      <c r="C31" s="238">
        <v>42574</v>
      </c>
      <c r="E31" s="9">
        <f t="shared" si="0"/>
        <v>81.3</v>
      </c>
      <c r="G31" s="9">
        <f t="shared" si="1"/>
        <v>96</v>
      </c>
      <c r="I31" s="9">
        <f t="shared" si="2"/>
        <v>99</v>
      </c>
      <c r="K31" s="9">
        <f t="shared" si="3"/>
        <v>99</v>
      </c>
      <c r="L31"/>
      <c r="M31" s="9">
        <f t="shared" si="4"/>
        <v>59</v>
      </c>
      <c r="O31" s="9">
        <f t="shared" si="5"/>
        <v>59</v>
      </c>
      <c r="P31"/>
      <c r="Q31" s="9">
        <f t="shared" si="6"/>
        <v>42</v>
      </c>
      <c r="R31"/>
      <c r="S31" s="9">
        <f t="shared" si="7"/>
        <v>42</v>
      </c>
      <c r="T31"/>
      <c r="U31" s="9">
        <f t="shared" si="8"/>
        <v>31</v>
      </c>
      <c r="W31" s="37">
        <f t="shared" si="9"/>
        <v>30</v>
      </c>
    </row>
    <row r="32" spans="2:23" x14ac:dyDescent="0.25">
      <c r="B32" s="237" t="s">
        <v>18</v>
      </c>
      <c r="C32" s="238">
        <v>42581</v>
      </c>
      <c r="E32" s="9">
        <f t="shared" si="0"/>
        <v>81.3</v>
      </c>
      <c r="G32" s="9">
        <f t="shared" si="1"/>
        <v>96</v>
      </c>
      <c r="I32" s="9">
        <f t="shared" si="2"/>
        <v>99</v>
      </c>
      <c r="K32" s="9">
        <f t="shared" si="3"/>
        <v>99</v>
      </c>
      <c r="L32"/>
      <c r="M32" s="9">
        <f t="shared" si="4"/>
        <v>59</v>
      </c>
      <c r="O32" s="9">
        <f t="shared" si="5"/>
        <v>59</v>
      </c>
      <c r="P32"/>
      <c r="Q32" s="9">
        <f t="shared" si="6"/>
        <v>42</v>
      </c>
      <c r="R32"/>
      <c r="S32" s="9">
        <f t="shared" si="7"/>
        <v>42</v>
      </c>
      <c r="T32"/>
      <c r="U32" s="9">
        <f t="shared" si="8"/>
        <v>31</v>
      </c>
      <c r="W32" s="37">
        <f t="shared" si="9"/>
        <v>30</v>
      </c>
    </row>
    <row r="33" spans="2:23" x14ac:dyDescent="0.25">
      <c r="B33" s="237" t="s">
        <v>18</v>
      </c>
      <c r="C33" s="238">
        <v>42588</v>
      </c>
      <c r="E33" s="9">
        <f t="shared" si="0"/>
        <v>81.3</v>
      </c>
      <c r="G33" s="9">
        <f t="shared" si="1"/>
        <v>96</v>
      </c>
      <c r="I33" s="9">
        <f t="shared" si="2"/>
        <v>99</v>
      </c>
      <c r="K33" s="9">
        <f t="shared" si="3"/>
        <v>99</v>
      </c>
      <c r="L33"/>
      <c r="M33" s="9">
        <f t="shared" si="4"/>
        <v>59</v>
      </c>
      <c r="O33" s="9">
        <f t="shared" si="5"/>
        <v>59</v>
      </c>
      <c r="P33"/>
      <c r="Q33" s="9">
        <f t="shared" si="6"/>
        <v>42</v>
      </c>
      <c r="R33"/>
      <c r="S33" s="9">
        <f t="shared" si="7"/>
        <v>42</v>
      </c>
      <c r="T33"/>
      <c r="U33" s="9">
        <f t="shared" si="8"/>
        <v>31</v>
      </c>
      <c r="W33" s="37">
        <f t="shared" si="9"/>
        <v>30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3"/>
  <sheetViews>
    <sheetView workbookViewId="0">
      <selection activeCell="G1" sqref="G1"/>
    </sheetView>
  </sheetViews>
  <sheetFormatPr defaultRowHeight="15" x14ac:dyDescent="0.25"/>
  <cols>
    <col min="1" max="1" width="3.7109375" bestFit="1" customWidth="1"/>
    <col min="2" max="2" width="10.85546875" bestFit="1" customWidth="1"/>
    <col min="3" max="3" width="8.140625" style="93" bestFit="1" customWidth="1"/>
    <col min="4" max="4" width="26.5703125" bestFit="1" customWidth="1"/>
    <col min="5" max="5" width="11" bestFit="1" customWidth="1"/>
    <col min="6" max="9" width="11" customWidth="1"/>
    <col min="11" max="11" width="3.42578125" customWidth="1"/>
    <col min="12" max="14" width="3.42578125" style="97" customWidth="1"/>
    <col min="15" max="15" width="7.140625" style="100" bestFit="1" customWidth="1"/>
    <col min="16" max="16" width="7.5703125" customWidth="1"/>
    <col min="17" max="18" width="3.42578125" customWidth="1"/>
    <col min="19" max="19" width="3.42578125" style="97" customWidth="1"/>
    <col min="21" max="21" width="3.42578125" customWidth="1"/>
    <col min="22" max="23" width="3.42578125" style="97" customWidth="1"/>
    <col min="24" max="27" width="3.42578125" customWidth="1"/>
    <col min="29" max="31" width="3.42578125" customWidth="1"/>
    <col min="33" max="35" width="3.42578125" customWidth="1"/>
  </cols>
  <sheetData>
    <row r="1" spans="1:35" s="6" customFormat="1" x14ac:dyDescent="0.25">
      <c r="A1" s="6" t="s">
        <v>58</v>
      </c>
      <c r="B1" s="6" t="s">
        <v>59</v>
      </c>
      <c r="C1" s="92" t="s">
        <v>62</v>
      </c>
      <c r="D1" s="6" t="s">
        <v>60</v>
      </c>
      <c r="E1" s="6" t="s">
        <v>61</v>
      </c>
      <c r="F1" s="6" t="s">
        <v>75</v>
      </c>
      <c r="G1" s="6" t="s">
        <v>76</v>
      </c>
      <c r="H1" s="6" t="s">
        <v>77</v>
      </c>
      <c r="I1" s="6" t="s">
        <v>72</v>
      </c>
      <c r="L1" s="95" t="s">
        <v>8</v>
      </c>
      <c r="M1" s="95"/>
      <c r="N1" s="95"/>
      <c r="O1" s="98" t="s">
        <v>81</v>
      </c>
      <c r="R1" s="6" t="s">
        <v>72</v>
      </c>
      <c r="S1" s="95"/>
      <c r="T1" s="8"/>
      <c r="V1" s="95" t="s">
        <v>78</v>
      </c>
      <c r="W1" s="95"/>
      <c r="Z1" s="6" t="s">
        <v>5</v>
      </c>
      <c r="AB1" s="8"/>
      <c r="AD1" s="6" t="s">
        <v>79</v>
      </c>
      <c r="AH1" s="6" t="s">
        <v>80</v>
      </c>
    </row>
    <row r="2" spans="1:35" s="6" customFormat="1" x14ac:dyDescent="0.25">
      <c r="C2" s="92"/>
      <c r="K2" s="29" t="s">
        <v>66</v>
      </c>
      <c r="L2" s="96" t="s">
        <v>67</v>
      </c>
      <c r="M2" s="96" t="s">
        <v>65</v>
      </c>
      <c r="N2" s="96"/>
      <c r="O2" s="99"/>
      <c r="Q2" s="29" t="s">
        <v>66</v>
      </c>
      <c r="R2" s="29" t="s">
        <v>67</v>
      </c>
      <c r="S2" s="29" t="s">
        <v>65</v>
      </c>
      <c r="T2" s="8"/>
      <c r="U2" s="29" t="s">
        <v>66</v>
      </c>
      <c r="V2" s="96" t="s">
        <v>67</v>
      </c>
      <c r="W2" s="96" t="s">
        <v>65</v>
      </c>
      <c r="Y2" s="29" t="s">
        <v>66</v>
      </c>
      <c r="Z2" s="29" t="s">
        <v>67</v>
      </c>
      <c r="AA2" s="29" t="s">
        <v>65</v>
      </c>
      <c r="AB2" s="8"/>
      <c r="AC2" s="29" t="s">
        <v>66</v>
      </c>
      <c r="AD2" s="29" t="s">
        <v>67</v>
      </c>
      <c r="AE2" s="29" t="s">
        <v>65</v>
      </c>
      <c r="AG2" s="29" t="s">
        <v>66</v>
      </c>
      <c r="AH2" s="29" t="s">
        <v>67</v>
      </c>
      <c r="AI2" s="29" t="s">
        <v>65</v>
      </c>
    </row>
    <row r="3" spans="1:35" s="9" customFormat="1" x14ac:dyDescent="0.25">
      <c r="A3" s="106">
        <v>1</v>
      </c>
      <c r="B3" s="106" t="s">
        <v>46</v>
      </c>
      <c r="C3" s="107">
        <v>41294</v>
      </c>
      <c r="D3" s="106" t="s">
        <v>63</v>
      </c>
      <c r="E3" s="106" t="s">
        <v>64</v>
      </c>
      <c r="F3" s="108">
        <v>312.5</v>
      </c>
      <c r="G3" s="108">
        <f>(300/18)*11</f>
        <v>183.33333333333334</v>
      </c>
      <c r="H3" s="108">
        <v>0</v>
      </c>
      <c r="I3" s="108">
        <f t="shared" ref="I3:I15" si="0">H3+G3+F3</f>
        <v>495.83333333333337</v>
      </c>
      <c r="J3" s="101"/>
      <c r="K3" s="94">
        <v>3</v>
      </c>
      <c r="L3" s="95">
        <v>40</v>
      </c>
      <c r="M3" s="95">
        <v>20</v>
      </c>
      <c r="N3" s="95"/>
      <c r="O3" s="98" t="s">
        <v>82</v>
      </c>
      <c r="Q3" s="104">
        <f>K3</f>
        <v>3</v>
      </c>
      <c r="R3" s="104">
        <f>L3</f>
        <v>40</v>
      </c>
      <c r="S3" s="105">
        <f>M3</f>
        <v>20</v>
      </c>
      <c r="T3" s="37"/>
      <c r="U3" s="104">
        <v>4</v>
      </c>
      <c r="V3" s="105">
        <v>0</v>
      </c>
      <c r="W3" s="105">
        <v>0</v>
      </c>
      <c r="X3" s="106"/>
      <c r="Y3" s="109">
        <v>0</v>
      </c>
      <c r="Z3" s="109">
        <v>19</v>
      </c>
      <c r="AA3" s="109">
        <v>40</v>
      </c>
      <c r="AB3" s="37"/>
      <c r="AC3" s="104">
        <v>4</v>
      </c>
      <c r="AD3" s="105">
        <v>0</v>
      </c>
      <c r="AE3" s="105">
        <v>0</v>
      </c>
      <c r="AF3" s="106"/>
      <c r="AG3" s="109">
        <v>0</v>
      </c>
      <c r="AH3" s="109">
        <v>19</v>
      </c>
      <c r="AI3" s="109">
        <v>40</v>
      </c>
    </row>
    <row r="4" spans="1:35" s="6" customFormat="1" x14ac:dyDescent="0.25">
      <c r="A4" s="6">
        <v>2</v>
      </c>
      <c r="B4" s="6" t="s">
        <v>47</v>
      </c>
      <c r="C4" s="92">
        <v>41328</v>
      </c>
      <c r="D4" s="6" t="s">
        <v>68</v>
      </c>
      <c r="E4" s="6" t="s">
        <v>69</v>
      </c>
      <c r="F4" s="91">
        <v>170</v>
      </c>
      <c r="G4" s="91">
        <v>183</v>
      </c>
      <c r="H4" s="91">
        <v>0</v>
      </c>
      <c r="I4" s="91">
        <f t="shared" si="0"/>
        <v>353</v>
      </c>
      <c r="K4" s="94">
        <v>3</v>
      </c>
      <c r="L4" s="95">
        <v>39</v>
      </c>
      <c r="M4" s="95">
        <v>13</v>
      </c>
      <c r="N4" s="95"/>
      <c r="O4" s="98" t="s">
        <v>82</v>
      </c>
      <c r="Q4" s="94">
        <v>7</v>
      </c>
      <c r="R4" s="94">
        <v>19</v>
      </c>
      <c r="S4" s="95">
        <v>33</v>
      </c>
      <c r="T4" s="8"/>
      <c r="U4" s="94">
        <v>4</v>
      </c>
      <c r="V4" s="95">
        <v>0</v>
      </c>
      <c r="W4" s="95">
        <v>0</v>
      </c>
      <c r="Y4" s="109">
        <v>0</v>
      </c>
      <c r="Z4" s="109">
        <v>20</v>
      </c>
      <c r="AA4" s="109">
        <v>47</v>
      </c>
      <c r="AB4" s="8"/>
      <c r="AC4" s="94">
        <f t="shared" ref="AC4:AC15" si="1">AC3+4</f>
        <v>8</v>
      </c>
      <c r="AD4" s="95">
        <v>0</v>
      </c>
      <c r="AE4" s="95">
        <v>0</v>
      </c>
      <c r="AG4" s="109">
        <v>0</v>
      </c>
      <c r="AH4" s="109">
        <v>40</v>
      </c>
      <c r="AI4" s="109">
        <v>27</v>
      </c>
    </row>
    <row r="5" spans="1:35" s="6" customFormat="1" x14ac:dyDescent="0.25">
      <c r="A5" s="6">
        <v>3</v>
      </c>
      <c r="B5" s="6" t="s">
        <v>48</v>
      </c>
      <c r="C5" s="92">
        <v>41350</v>
      </c>
      <c r="D5" s="6" t="s">
        <v>83</v>
      </c>
      <c r="E5" s="6" t="s">
        <v>84</v>
      </c>
      <c r="F5" s="91">
        <v>225</v>
      </c>
      <c r="G5" s="91">
        <v>0</v>
      </c>
      <c r="H5" s="91">
        <f>1200/2</f>
        <v>600</v>
      </c>
      <c r="I5" s="91">
        <f t="shared" si="0"/>
        <v>825</v>
      </c>
      <c r="K5" s="102">
        <v>3</v>
      </c>
      <c r="L5" s="103">
        <v>54</v>
      </c>
      <c r="M5" s="103">
        <v>9</v>
      </c>
      <c r="N5" s="103"/>
      <c r="O5" s="98" t="s">
        <v>87</v>
      </c>
      <c r="Q5" s="94">
        <v>11</v>
      </c>
      <c r="R5" s="94">
        <v>13</v>
      </c>
      <c r="S5" s="95">
        <v>42</v>
      </c>
      <c r="T5" s="8"/>
      <c r="U5" s="94">
        <v>4</v>
      </c>
      <c r="V5" s="95">
        <v>0</v>
      </c>
      <c r="W5" s="95">
        <v>0</v>
      </c>
      <c r="Y5" s="109">
        <v>0</v>
      </c>
      <c r="Z5" s="109">
        <v>5</v>
      </c>
      <c r="AA5" s="109">
        <v>51</v>
      </c>
      <c r="AB5" s="111"/>
      <c r="AC5" s="94">
        <f t="shared" si="1"/>
        <v>12</v>
      </c>
      <c r="AD5" s="95">
        <v>0</v>
      </c>
      <c r="AE5" s="95">
        <v>0</v>
      </c>
      <c r="AG5" s="109">
        <v>0</v>
      </c>
      <c r="AH5" s="109">
        <v>46</v>
      </c>
      <c r="AI5" s="109">
        <v>18</v>
      </c>
    </row>
    <row r="6" spans="1:35" s="6" customFormat="1" x14ac:dyDescent="0.25">
      <c r="A6" s="6">
        <v>4</v>
      </c>
      <c r="B6" s="6" t="s">
        <v>49</v>
      </c>
      <c r="C6" s="92">
        <v>41385</v>
      </c>
      <c r="D6" s="6" t="s">
        <v>70</v>
      </c>
      <c r="E6" s="6" t="s">
        <v>71</v>
      </c>
      <c r="F6" s="91">
        <v>650</v>
      </c>
      <c r="G6" s="91">
        <v>300</v>
      </c>
      <c r="H6" s="91">
        <v>0</v>
      </c>
      <c r="I6" s="91">
        <f t="shared" si="0"/>
        <v>950</v>
      </c>
      <c r="K6" s="94">
        <v>3</v>
      </c>
      <c r="L6" s="95">
        <v>37</v>
      </c>
      <c r="M6" s="95">
        <v>4</v>
      </c>
      <c r="N6" s="95"/>
      <c r="O6" s="98" t="s">
        <v>82</v>
      </c>
      <c r="Q6" s="94">
        <v>14</v>
      </c>
      <c r="R6" s="94">
        <v>50</v>
      </c>
      <c r="S6" s="95">
        <v>46</v>
      </c>
      <c r="T6" s="8"/>
      <c r="U6" s="94">
        <v>4</v>
      </c>
      <c r="V6" s="95">
        <v>0</v>
      </c>
      <c r="W6" s="95">
        <v>0</v>
      </c>
      <c r="Y6" s="109">
        <v>0</v>
      </c>
      <c r="Z6" s="109">
        <v>22</v>
      </c>
      <c r="AA6" s="109">
        <v>56</v>
      </c>
      <c r="AB6" s="8"/>
      <c r="AC6" s="94">
        <f t="shared" si="1"/>
        <v>16</v>
      </c>
      <c r="AD6" s="95">
        <v>0</v>
      </c>
      <c r="AE6" s="95">
        <v>0</v>
      </c>
      <c r="AG6" s="109">
        <v>1</v>
      </c>
      <c r="AH6" s="109">
        <v>9</v>
      </c>
      <c r="AI6" s="109">
        <v>14</v>
      </c>
    </row>
    <row r="7" spans="1:35" s="6" customFormat="1" x14ac:dyDescent="0.25">
      <c r="A7" s="6">
        <v>5</v>
      </c>
      <c r="B7" s="6" t="s">
        <v>50</v>
      </c>
      <c r="C7" s="92">
        <v>41413</v>
      </c>
      <c r="D7" s="6" t="s">
        <v>73</v>
      </c>
      <c r="E7" s="6" t="s">
        <v>74</v>
      </c>
      <c r="F7" s="91">
        <v>400</v>
      </c>
      <c r="G7" s="91">
        <v>913</v>
      </c>
      <c r="H7" s="91">
        <v>600</v>
      </c>
      <c r="I7" s="91">
        <f t="shared" si="0"/>
        <v>1913</v>
      </c>
      <c r="K7" s="94">
        <v>3</v>
      </c>
      <c r="L7" s="95">
        <v>23</v>
      </c>
      <c r="M7" s="95">
        <v>22</v>
      </c>
      <c r="N7" s="110"/>
      <c r="O7" s="98" t="s">
        <v>82</v>
      </c>
      <c r="Q7" s="94">
        <v>18</v>
      </c>
      <c r="R7" s="94">
        <v>13</v>
      </c>
      <c r="S7" s="95">
        <v>58</v>
      </c>
      <c r="T7" s="8"/>
      <c r="U7" s="94">
        <v>4</v>
      </c>
      <c r="V7" s="95">
        <v>0</v>
      </c>
      <c r="W7" s="95">
        <v>0</v>
      </c>
      <c r="Y7" s="109">
        <v>0</v>
      </c>
      <c r="Z7" s="109">
        <v>36</v>
      </c>
      <c r="AA7" s="109">
        <v>38</v>
      </c>
      <c r="AB7" s="8"/>
      <c r="AC7" s="94">
        <f t="shared" si="1"/>
        <v>20</v>
      </c>
      <c r="AD7" s="95">
        <v>0</v>
      </c>
      <c r="AE7" s="95">
        <v>0</v>
      </c>
      <c r="AG7" s="109">
        <v>1</v>
      </c>
      <c r="AH7" s="109">
        <v>46</v>
      </c>
      <c r="AI7" s="109">
        <v>2</v>
      </c>
    </row>
    <row r="8" spans="1:35" s="6" customFormat="1" x14ac:dyDescent="0.25">
      <c r="A8" s="6">
        <v>6</v>
      </c>
      <c r="B8" s="6" t="s">
        <v>51</v>
      </c>
      <c r="C8" s="92">
        <v>41440</v>
      </c>
      <c r="D8" s="6" t="s">
        <v>90</v>
      </c>
      <c r="E8" s="6" t="s">
        <v>91</v>
      </c>
      <c r="F8" s="91">
        <f>28*7.45</f>
        <v>208.6</v>
      </c>
      <c r="G8" s="91">
        <f>(500/17)*11</f>
        <v>323.52941176470586</v>
      </c>
      <c r="H8" s="91">
        <f>100*7.45</f>
        <v>745</v>
      </c>
      <c r="I8" s="91">
        <f t="shared" si="0"/>
        <v>1277.1294117647058</v>
      </c>
      <c r="K8" s="94">
        <v>3</v>
      </c>
      <c r="L8" s="95">
        <v>32</v>
      </c>
      <c r="M8" s="95">
        <v>34</v>
      </c>
      <c r="N8" s="95"/>
      <c r="O8" s="98" t="s">
        <v>114</v>
      </c>
      <c r="Q8" s="94">
        <v>21</v>
      </c>
      <c r="R8" s="94">
        <v>46</v>
      </c>
      <c r="S8" s="95">
        <v>32</v>
      </c>
      <c r="T8" s="8"/>
      <c r="U8" s="94">
        <v>4</v>
      </c>
      <c r="V8" s="95">
        <v>0</v>
      </c>
      <c r="W8" s="95">
        <v>0</v>
      </c>
      <c r="Y8" s="109">
        <v>0</v>
      </c>
      <c r="Z8" s="109">
        <v>27</v>
      </c>
      <c r="AA8" s="109">
        <v>26</v>
      </c>
      <c r="AB8" s="8"/>
      <c r="AC8" s="94">
        <f t="shared" si="1"/>
        <v>24</v>
      </c>
      <c r="AD8" s="95">
        <v>0</v>
      </c>
      <c r="AE8" s="95">
        <v>0</v>
      </c>
      <c r="AG8" s="109">
        <v>2</v>
      </c>
      <c r="AH8" s="109">
        <v>13</v>
      </c>
      <c r="AI8" s="109">
        <v>28</v>
      </c>
    </row>
    <row r="9" spans="1:35" s="6" customFormat="1" x14ac:dyDescent="0.25">
      <c r="A9" s="6">
        <v>7</v>
      </c>
      <c r="B9" s="6" t="s">
        <v>52</v>
      </c>
      <c r="C9" s="92">
        <v>41467</v>
      </c>
      <c r="D9" s="6" t="s">
        <v>88</v>
      </c>
      <c r="E9" s="6" t="s">
        <v>89</v>
      </c>
      <c r="F9" s="91">
        <v>70</v>
      </c>
      <c r="G9" s="91">
        <f>((600/17)*11)-300</f>
        <v>88.235294117647072</v>
      </c>
      <c r="H9" s="91">
        <v>0</v>
      </c>
      <c r="I9" s="91">
        <f t="shared" si="0"/>
        <v>158.23529411764707</v>
      </c>
      <c r="K9" s="94">
        <v>3</v>
      </c>
      <c r="L9" s="95">
        <v>26</v>
      </c>
      <c r="M9" s="95">
        <v>12</v>
      </c>
      <c r="N9" s="95"/>
      <c r="O9" s="98" t="s">
        <v>119</v>
      </c>
      <c r="Q9" s="94">
        <v>25</v>
      </c>
      <c r="R9" s="94">
        <v>2</v>
      </c>
      <c r="S9" s="95">
        <v>44</v>
      </c>
      <c r="T9" s="8"/>
      <c r="U9" s="94">
        <v>4</v>
      </c>
      <c r="V9" s="95">
        <v>0</v>
      </c>
      <c r="W9" s="95">
        <v>0</v>
      </c>
      <c r="Y9" s="109">
        <v>0</v>
      </c>
      <c r="Z9" s="109">
        <v>33</v>
      </c>
      <c r="AA9" s="109">
        <v>48</v>
      </c>
      <c r="AB9" s="8"/>
      <c r="AC9" s="94">
        <f t="shared" si="1"/>
        <v>28</v>
      </c>
      <c r="AD9" s="95">
        <v>0</v>
      </c>
      <c r="AE9" s="95">
        <v>0</v>
      </c>
      <c r="AG9" s="109">
        <v>2</v>
      </c>
      <c r="AH9" s="109">
        <v>47</v>
      </c>
      <c r="AI9" s="109">
        <v>16</v>
      </c>
    </row>
    <row r="10" spans="1:35" s="6" customFormat="1" x14ac:dyDescent="0.25">
      <c r="A10" s="6">
        <v>8</v>
      </c>
      <c r="B10" s="6" t="s">
        <v>53</v>
      </c>
      <c r="C10" s="92">
        <v>41503</v>
      </c>
      <c r="D10" s="6" t="s">
        <v>110</v>
      </c>
      <c r="E10" s="6" t="s">
        <v>111</v>
      </c>
      <c r="F10" s="91">
        <v>300</v>
      </c>
      <c r="G10" s="91">
        <f>(600/17)*11</f>
        <v>388.23529411764707</v>
      </c>
      <c r="H10" s="91">
        <v>0</v>
      </c>
      <c r="I10" s="91">
        <f t="shared" si="0"/>
        <v>688.23529411764707</v>
      </c>
      <c r="K10" s="94">
        <v>3</v>
      </c>
      <c r="L10" s="95">
        <v>21</v>
      </c>
      <c r="M10" s="95">
        <v>54</v>
      </c>
      <c r="N10" s="95"/>
      <c r="O10" s="98" t="s">
        <v>82</v>
      </c>
      <c r="Q10" s="94">
        <v>28</v>
      </c>
      <c r="R10" s="94">
        <v>24</v>
      </c>
      <c r="S10" s="95">
        <v>38</v>
      </c>
      <c r="T10" s="8"/>
      <c r="U10" s="94">
        <v>4</v>
      </c>
      <c r="V10" s="95">
        <v>0</v>
      </c>
      <c r="W10" s="95">
        <v>0</v>
      </c>
      <c r="Y10" s="109">
        <v>0</v>
      </c>
      <c r="Z10" s="109">
        <v>38</v>
      </c>
      <c r="AA10" s="109">
        <v>6</v>
      </c>
      <c r="AB10" s="111"/>
      <c r="AC10" s="94">
        <f t="shared" si="1"/>
        <v>32</v>
      </c>
      <c r="AD10" s="95">
        <v>0</v>
      </c>
      <c r="AE10" s="95">
        <v>0</v>
      </c>
      <c r="AG10" s="109">
        <v>3</v>
      </c>
      <c r="AH10" s="109">
        <f>38-13</f>
        <v>25</v>
      </c>
      <c r="AI10" s="109">
        <v>22</v>
      </c>
    </row>
    <row r="11" spans="1:35" s="6" customFormat="1" x14ac:dyDescent="0.25">
      <c r="A11" s="6">
        <v>9</v>
      </c>
      <c r="B11" s="6" t="s">
        <v>53</v>
      </c>
      <c r="C11" s="92">
        <v>41517</v>
      </c>
      <c r="D11" s="6" t="s">
        <v>117</v>
      </c>
      <c r="E11" s="6" t="s">
        <v>118</v>
      </c>
      <c r="F11" s="91">
        <v>0</v>
      </c>
      <c r="G11" s="91">
        <v>0</v>
      </c>
      <c r="H11" s="91">
        <v>0</v>
      </c>
      <c r="I11" s="91">
        <f t="shared" si="0"/>
        <v>0</v>
      </c>
      <c r="K11" s="94">
        <v>3</v>
      </c>
      <c r="L11" s="95">
        <v>14</v>
      </c>
      <c r="M11" s="95">
        <v>57</v>
      </c>
      <c r="N11" s="95"/>
      <c r="O11" s="98" t="s">
        <v>82</v>
      </c>
      <c r="Q11" s="94">
        <v>31</v>
      </c>
      <c r="R11" s="94">
        <v>39</v>
      </c>
      <c r="S11" s="95">
        <v>35</v>
      </c>
      <c r="T11" s="8"/>
      <c r="U11" s="94">
        <v>4</v>
      </c>
      <c r="V11" s="95">
        <v>0</v>
      </c>
      <c r="W11" s="95">
        <v>0</v>
      </c>
      <c r="Y11" s="109">
        <v>0</v>
      </c>
      <c r="Z11" s="109">
        <v>45</v>
      </c>
      <c r="AA11" s="109">
        <v>3</v>
      </c>
      <c r="AB11" s="8"/>
      <c r="AC11" s="94">
        <f t="shared" si="1"/>
        <v>36</v>
      </c>
      <c r="AD11" s="95">
        <v>0</v>
      </c>
      <c r="AE11" s="95">
        <v>0</v>
      </c>
      <c r="AG11" s="109">
        <v>4</v>
      </c>
      <c r="AH11" s="109">
        <v>10</v>
      </c>
      <c r="AI11" s="109">
        <v>25</v>
      </c>
    </row>
    <row r="12" spans="1:35" s="6" customFormat="1" x14ac:dyDescent="0.25">
      <c r="A12" s="6">
        <v>10</v>
      </c>
      <c r="B12" s="6" t="s">
        <v>54</v>
      </c>
      <c r="C12" s="92">
        <v>41546</v>
      </c>
      <c r="D12" s="6" t="s">
        <v>112</v>
      </c>
      <c r="E12" s="6" t="s">
        <v>113</v>
      </c>
      <c r="F12" s="91">
        <v>0</v>
      </c>
      <c r="G12" s="91">
        <v>0</v>
      </c>
      <c r="H12" s="91">
        <v>0</v>
      </c>
      <c r="I12" s="91">
        <f t="shared" si="0"/>
        <v>0</v>
      </c>
      <c r="K12" s="94">
        <v>3</v>
      </c>
      <c r="L12" s="95">
        <v>7</v>
      </c>
      <c r="M12" s="95">
        <v>28</v>
      </c>
      <c r="N12" s="95"/>
      <c r="O12" s="98" t="s">
        <v>120</v>
      </c>
      <c r="Q12" s="94">
        <v>34</v>
      </c>
      <c r="R12" s="94">
        <v>47</v>
      </c>
      <c r="S12" s="95">
        <v>3</v>
      </c>
      <c r="T12" s="8"/>
      <c r="U12" s="94">
        <v>4</v>
      </c>
      <c r="V12" s="95">
        <v>0</v>
      </c>
      <c r="W12" s="95">
        <v>0</v>
      </c>
      <c r="Y12" s="109">
        <v>0</v>
      </c>
      <c r="Z12" s="109">
        <v>52</v>
      </c>
      <c r="AA12" s="109">
        <v>32</v>
      </c>
      <c r="AB12" s="8"/>
      <c r="AC12" s="94">
        <v>40</v>
      </c>
      <c r="AD12" s="95">
        <v>0</v>
      </c>
      <c r="AE12" s="95">
        <v>0</v>
      </c>
      <c r="AG12" s="109">
        <v>5</v>
      </c>
      <c r="AH12" s="109">
        <v>12</v>
      </c>
      <c r="AI12" s="109">
        <v>57</v>
      </c>
    </row>
    <row r="13" spans="1:35" x14ac:dyDescent="0.25">
      <c r="A13" s="6">
        <v>11</v>
      </c>
      <c r="B13" s="6" t="s">
        <v>55</v>
      </c>
      <c r="C13" s="92">
        <v>41574</v>
      </c>
      <c r="D13" s="6" t="s">
        <v>85</v>
      </c>
      <c r="E13" s="6" t="s">
        <v>86</v>
      </c>
      <c r="F13" s="91">
        <v>745</v>
      </c>
      <c r="G13" s="91">
        <f>((440/17)*11)+(500+1648)/2</f>
        <v>1358.7058823529412</v>
      </c>
      <c r="H13" s="91">
        <v>1192</v>
      </c>
      <c r="I13" s="91">
        <f t="shared" si="0"/>
        <v>3295.7058823529414</v>
      </c>
      <c r="K13" s="104">
        <v>3</v>
      </c>
      <c r="L13" s="105">
        <v>4</v>
      </c>
      <c r="M13" s="105">
        <v>9</v>
      </c>
      <c r="O13" s="98" t="s">
        <v>146</v>
      </c>
      <c r="Q13" s="94">
        <v>37</v>
      </c>
      <c r="R13" s="94">
        <v>51</v>
      </c>
      <c r="S13" s="95">
        <v>12</v>
      </c>
      <c r="T13" s="4"/>
      <c r="U13" s="94">
        <v>4</v>
      </c>
      <c r="V13" s="95">
        <v>0</v>
      </c>
      <c r="W13" s="95">
        <v>0</v>
      </c>
      <c r="Y13" s="109">
        <v>0</v>
      </c>
      <c r="Z13" s="109">
        <v>55</v>
      </c>
      <c r="AA13" s="109">
        <v>51</v>
      </c>
      <c r="AB13" s="4"/>
      <c r="AC13" s="94">
        <v>44</v>
      </c>
      <c r="AD13" s="95">
        <v>0</v>
      </c>
      <c r="AE13" s="95">
        <v>0</v>
      </c>
      <c r="AG13" s="147">
        <v>6</v>
      </c>
      <c r="AH13" s="147">
        <v>8</v>
      </c>
      <c r="AI13" s="147">
        <v>48</v>
      </c>
    </row>
    <row r="14" spans="1:35" x14ac:dyDescent="0.25">
      <c r="A14">
        <v>12</v>
      </c>
      <c r="B14" s="6" t="s">
        <v>56</v>
      </c>
      <c r="C14" s="92">
        <v>41595</v>
      </c>
      <c r="D14" s="6" t="s">
        <v>124</v>
      </c>
      <c r="E14" s="6" t="s">
        <v>123</v>
      </c>
      <c r="F14" s="91">
        <v>100</v>
      </c>
      <c r="G14" s="91">
        <f>(((260)/17)*11)+225</f>
        <v>393.23529411764707</v>
      </c>
      <c r="H14" s="91">
        <v>0</v>
      </c>
      <c r="I14" s="90">
        <f t="shared" si="0"/>
        <v>493.23529411764707</v>
      </c>
      <c r="K14" s="94">
        <v>3</v>
      </c>
      <c r="L14" s="95">
        <v>14</v>
      </c>
      <c r="M14" s="95">
        <v>27</v>
      </c>
      <c r="O14" s="98" t="s">
        <v>114</v>
      </c>
      <c r="Q14" s="94">
        <v>41</v>
      </c>
      <c r="R14" s="94">
        <v>5</v>
      </c>
      <c r="S14" s="95">
        <v>39</v>
      </c>
      <c r="T14" s="4"/>
      <c r="U14" s="94">
        <v>4</v>
      </c>
      <c r="V14" s="95">
        <v>0</v>
      </c>
      <c r="W14" s="95">
        <v>0</v>
      </c>
      <c r="Y14" s="109">
        <v>0</v>
      </c>
      <c r="Z14" s="109">
        <v>45</v>
      </c>
      <c r="AA14" s="109">
        <v>33</v>
      </c>
      <c r="AB14" s="4"/>
      <c r="AC14" s="94">
        <f t="shared" si="1"/>
        <v>48</v>
      </c>
      <c r="AD14" s="95">
        <v>0</v>
      </c>
      <c r="AE14" s="95">
        <v>0</v>
      </c>
      <c r="AG14" s="147">
        <v>6</v>
      </c>
      <c r="AH14" s="147">
        <v>54</v>
      </c>
      <c r="AI14" s="147">
        <v>21</v>
      </c>
    </row>
    <row r="15" spans="1:35" s="6" customFormat="1" x14ac:dyDescent="0.25">
      <c r="A15" s="6">
        <v>13</v>
      </c>
      <c r="B15" s="6" t="s">
        <v>57</v>
      </c>
      <c r="C15" s="92">
        <v>41616</v>
      </c>
      <c r="D15" s="6" t="s">
        <v>115</v>
      </c>
      <c r="E15" s="6" t="s">
        <v>116</v>
      </c>
      <c r="F15" s="91">
        <f>40*7.45</f>
        <v>298</v>
      </c>
      <c r="G15" s="91">
        <f>((440/17)*11)+(500+1386)/2</f>
        <v>1227.7058823529412</v>
      </c>
      <c r="H15" s="91">
        <f>(633+633+358)/2</f>
        <v>812</v>
      </c>
      <c r="I15" s="91">
        <f t="shared" si="0"/>
        <v>2337.7058823529414</v>
      </c>
      <c r="K15" s="109">
        <v>3</v>
      </c>
      <c r="L15" s="110">
        <v>3</v>
      </c>
      <c r="M15" s="110">
        <v>34</v>
      </c>
      <c r="N15" s="95"/>
      <c r="O15" s="98" t="s">
        <v>121</v>
      </c>
      <c r="Q15" s="94">
        <v>44</v>
      </c>
      <c r="R15" s="94">
        <v>9</v>
      </c>
      <c r="S15" s="95">
        <v>13</v>
      </c>
      <c r="T15" s="8"/>
      <c r="U15" s="94">
        <v>4</v>
      </c>
      <c r="V15" s="95">
        <v>0</v>
      </c>
      <c r="W15" s="95">
        <v>0</v>
      </c>
      <c r="Y15" s="109">
        <v>0</v>
      </c>
      <c r="Z15" s="109">
        <v>56</v>
      </c>
      <c r="AA15" s="109">
        <v>26</v>
      </c>
      <c r="AB15" s="8"/>
      <c r="AC15" s="94">
        <f t="shared" si="1"/>
        <v>52</v>
      </c>
      <c r="AD15" s="95">
        <v>0</v>
      </c>
      <c r="AE15" s="95">
        <v>0</v>
      </c>
      <c r="AG15" s="109">
        <v>7</v>
      </c>
      <c r="AH15" s="109">
        <v>50</v>
      </c>
      <c r="AI15" s="109">
        <v>47</v>
      </c>
    </row>
    <row r="16" spans="1:35" x14ac:dyDescent="0.25">
      <c r="F16" s="90"/>
      <c r="G16" s="90"/>
      <c r="H16" s="90"/>
      <c r="I16" s="90"/>
      <c r="K16" s="89"/>
    </row>
    <row r="17" spans="6:27" x14ac:dyDescent="0.25">
      <c r="F17" s="91">
        <f>SUM(F3:F16)</f>
        <v>3479.1</v>
      </c>
      <c r="G17" s="91">
        <f>SUM(G3:G16)</f>
        <v>5358.9803921568628</v>
      </c>
      <c r="H17" s="91">
        <f>SUM(H3:H16)</f>
        <v>3949</v>
      </c>
      <c r="I17" s="91">
        <f>SUM(I3:I16)</f>
        <v>12787.080392156862</v>
      </c>
      <c r="J17" s="6"/>
      <c r="K17" s="6"/>
      <c r="L17" s="95"/>
      <c r="M17" s="95"/>
      <c r="N17" s="95"/>
      <c r="O17" s="98"/>
      <c r="Y17" s="6"/>
      <c r="Z17" s="6"/>
      <c r="AA17" s="6"/>
    </row>
    <row r="18" spans="6:27" x14ac:dyDescent="0.25">
      <c r="K18" s="89"/>
    </row>
    <row r="19" spans="6:27" x14ac:dyDescent="0.25">
      <c r="K19" s="89"/>
    </row>
    <row r="20" spans="6:27" x14ac:dyDescent="0.25">
      <c r="K20" s="89"/>
    </row>
    <row r="21" spans="6:27" x14ac:dyDescent="0.25">
      <c r="K21" s="89"/>
    </row>
    <row r="22" spans="6:27" x14ac:dyDescent="0.25">
      <c r="K22" s="89"/>
    </row>
    <row r="23" spans="6:27" x14ac:dyDescent="0.25">
      <c r="K23" s="89"/>
    </row>
    <row r="24" spans="6:27" x14ac:dyDescent="0.25">
      <c r="K24" s="89"/>
    </row>
    <row r="25" spans="6:27" x14ac:dyDescent="0.25">
      <c r="K25" s="89"/>
    </row>
    <row r="26" spans="6:27" x14ac:dyDescent="0.25">
      <c r="K26" s="89"/>
    </row>
    <row r="27" spans="6:27" x14ac:dyDescent="0.25">
      <c r="K27" s="89"/>
    </row>
    <row r="28" spans="6:27" x14ac:dyDescent="0.25">
      <c r="K28" s="89"/>
    </row>
    <row r="29" spans="6:27" x14ac:dyDescent="0.25">
      <c r="K29" s="89"/>
    </row>
    <row r="30" spans="6:27" x14ac:dyDescent="0.25">
      <c r="K30" s="89"/>
    </row>
    <row r="31" spans="6:27" x14ac:dyDescent="0.25">
      <c r="K31" s="89"/>
    </row>
    <row r="32" spans="6:27" x14ac:dyDescent="0.25">
      <c r="K32" s="89"/>
    </row>
    <row r="33" spans="11:11" x14ac:dyDescent="0.25">
      <c r="K33" s="89"/>
    </row>
    <row r="34" spans="11:11" x14ac:dyDescent="0.25">
      <c r="K34" s="89"/>
    </row>
    <row r="35" spans="11:11" x14ac:dyDescent="0.25">
      <c r="K35" s="89"/>
    </row>
    <row r="36" spans="11:11" x14ac:dyDescent="0.25">
      <c r="K36" s="89"/>
    </row>
    <row r="37" spans="11:11" x14ac:dyDescent="0.25">
      <c r="K37" s="89"/>
    </row>
    <row r="38" spans="11:11" x14ac:dyDescent="0.25">
      <c r="K38" s="89"/>
    </row>
    <row r="39" spans="11:11" x14ac:dyDescent="0.25">
      <c r="K39" s="89"/>
    </row>
    <row r="40" spans="11:11" x14ac:dyDescent="0.25">
      <c r="K40" s="89"/>
    </row>
    <row r="41" spans="11:11" x14ac:dyDescent="0.25">
      <c r="K41" s="89"/>
    </row>
    <row r="42" spans="11:11" x14ac:dyDescent="0.25">
      <c r="K42" s="89"/>
    </row>
    <row r="43" spans="11:11" x14ac:dyDescent="0.25">
      <c r="K43" s="89"/>
    </row>
    <row r="44" spans="11:11" x14ac:dyDescent="0.25">
      <c r="K44" s="89"/>
    </row>
    <row r="45" spans="11:11" x14ac:dyDescent="0.25">
      <c r="K45" s="89"/>
    </row>
    <row r="46" spans="11:11" x14ac:dyDescent="0.25">
      <c r="K46" s="89"/>
    </row>
    <row r="47" spans="11:11" x14ac:dyDescent="0.25">
      <c r="K47" s="89"/>
    </row>
    <row r="48" spans="11:11" x14ac:dyDescent="0.25">
      <c r="K48" s="89"/>
    </row>
    <row r="49" spans="11:11" x14ac:dyDescent="0.25">
      <c r="K49" s="89"/>
    </row>
    <row r="50" spans="11:11" x14ac:dyDescent="0.25">
      <c r="K50" s="89"/>
    </row>
    <row r="51" spans="11:11" x14ac:dyDescent="0.25">
      <c r="K51" s="89"/>
    </row>
    <row r="52" spans="11:11" x14ac:dyDescent="0.25">
      <c r="K52" s="89"/>
    </row>
    <row r="53" spans="11:11" x14ac:dyDescent="0.25">
      <c r="K53" s="89"/>
    </row>
    <row r="54" spans="11:11" x14ac:dyDescent="0.25">
      <c r="K54" s="89"/>
    </row>
    <row r="55" spans="11:11" x14ac:dyDescent="0.25">
      <c r="K55" s="89"/>
    </row>
    <row r="56" spans="11:11" x14ac:dyDescent="0.25">
      <c r="K56" s="89"/>
    </row>
    <row r="57" spans="11:11" x14ac:dyDescent="0.25">
      <c r="K57" s="89"/>
    </row>
    <row r="58" spans="11:11" x14ac:dyDescent="0.25">
      <c r="K58" s="89"/>
    </row>
    <row r="59" spans="11:11" x14ac:dyDescent="0.25">
      <c r="K59" s="89"/>
    </row>
    <row r="60" spans="11:11" x14ac:dyDescent="0.25">
      <c r="K60" s="89"/>
    </row>
    <row r="61" spans="11:11" x14ac:dyDescent="0.25">
      <c r="K61" s="89"/>
    </row>
    <row r="62" spans="11:11" x14ac:dyDescent="0.25">
      <c r="K62" s="89"/>
    </row>
    <row r="63" spans="11:11" x14ac:dyDescent="0.25">
      <c r="K63" s="89"/>
    </row>
    <row r="64" spans="11:11" x14ac:dyDescent="0.25">
      <c r="K64" s="89"/>
    </row>
    <row r="65" spans="11:11" x14ac:dyDescent="0.25">
      <c r="K65" s="89"/>
    </row>
    <row r="66" spans="11:11" x14ac:dyDescent="0.25">
      <c r="K66" s="89"/>
    </row>
    <row r="67" spans="11:11" x14ac:dyDescent="0.25">
      <c r="K67" s="89"/>
    </row>
    <row r="68" spans="11:11" x14ac:dyDescent="0.25">
      <c r="K68" s="89"/>
    </row>
    <row r="69" spans="11:11" x14ac:dyDescent="0.25">
      <c r="K69" s="89"/>
    </row>
    <row r="70" spans="11:11" x14ac:dyDescent="0.25">
      <c r="K70" s="89"/>
    </row>
    <row r="71" spans="11:11" x14ac:dyDescent="0.25">
      <c r="K71" s="89"/>
    </row>
    <row r="72" spans="11:11" x14ac:dyDescent="0.25">
      <c r="K72" s="89"/>
    </row>
    <row r="73" spans="11:11" x14ac:dyDescent="0.25">
      <c r="K73" s="89"/>
    </row>
    <row r="74" spans="11:11" x14ac:dyDescent="0.25">
      <c r="K74" s="89"/>
    </row>
    <row r="75" spans="11:11" x14ac:dyDescent="0.25">
      <c r="K75" s="89"/>
    </row>
    <row r="76" spans="11:11" x14ac:dyDescent="0.25">
      <c r="K76" s="89"/>
    </row>
    <row r="77" spans="11:11" x14ac:dyDescent="0.25">
      <c r="K77" s="89"/>
    </row>
    <row r="78" spans="11:11" x14ac:dyDescent="0.25">
      <c r="K78" s="89"/>
    </row>
    <row r="79" spans="11:11" x14ac:dyDescent="0.25">
      <c r="K79" s="89"/>
    </row>
    <row r="80" spans="11:11" x14ac:dyDescent="0.25">
      <c r="K80" s="89"/>
    </row>
    <row r="81" spans="11:11" x14ac:dyDescent="0.25">
      <c r="K81" s="89"/>
    </row>
    <row r="82" spans="11:11" x14ac:dyDescent="0.25">
      <c r="K82" s="89"/>
    </row>
    <row r="83" spans="11:11" x14ac:dyDescent="0.25">
      <c r="K83" s="89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zoomScaleNormal="100" workbookViewId="0">
      <pane ySplit="2" topLeftCell="A3" activePane="bottomLeft" state="frozen"/>
      <selection pane="bottomLeft" activeCell="A21" sqref="A21"/>
    </sheetView>
  </sheetViews>
  <sheetFormatPr defaultRowHeight="15" x14ac:dyDescent="0.25"/>
  <cols>
    <col min="1" max="2" width="8" bestFit="1" customWidth="1"/>
    <col min="3" max="3" width="8.140625" style="124" customWidth="1"/>
    <col min="4" max="5" width="8.140625" customWidth="1"/>
    <col min="6" max="6" width="8.140625" style="116" customWidth="1"/>
    <col min="7" max="9" width="8.140625" customWidth="1"/>
    <col min="10" max="11" width="8.140625" style="46" customWidth="1"/>
    <col min="12" max="12" width="8.140625" style="35" customWidth="1"/>
    <col min="13" max="16" width="8.140625" customWidth="1"/>
    <col min="17" max="17" width="8.140625" style="46" customWidth="1"/>
    <col min="18" max="18" width="8.140625" style="13" customWidth="1"/>
    <col min="19" max="19" width="8.140625" customWidth="1"/>
    <col min="20" max="21" width="8.140625" style="13" customWidth="1"/>
    <col min="22" max="22" width="8.140625" style="120" customWidth="1"/>
    <col min="23" max="23" width="8.140625" customWidth="1"/>
    <col min="24" max="24" width="8.140625" style="9" customWidth="1"/>
    <col min="25" max="25" width="8.140625" customWidth="1"/>
    <col min="26" max="26" width="8.140625" style="9" customWidth="1"/>
    <col min="27" max="27" width="8.140625" customWidth="1"/>
    <col min="28" max="28" width="8.140625" style="9" customWidth="1"/>
    <col min="29" max="29" width="8.140625" customWidth="1"/>
    <col min="30" max="32" width="8.140625" style="9" customWidth="1"/>
    <col min="33" max="33" width="8.140625" customWidth="1"/>
    <col min="34" max="34" width="8.140625" style="9" customWidth="1"/>
    <col min="35" max="35" width="8.140625" customWidth="1"/>
    <col min="36" max="36" width="8.140625" style="9" customWidth="1"/>
    <col min="37" max="37" width="10.42578125" bestFit="1" customWidth="1"/>
    <col min="38" max="50" width="8.140625" customWidth="1"/>
  </cols>
  <sheetData>
    <row r="1" spans="1:36" x14ac:dyDescent="0.25">
      <c r="A1" s="380" t="s">
        <v>101</v>
      </c>
      <c r="B1" s="380"/>
      <c r="C1" s="380" t="s">
        <v>95</v>
      </c>
      <c r="D1" s="380"/>
      <c r="E1" s="380"/>
      <c r="F1" s="381" t="s">
        <v>106</v>
      </c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135" t="s">
        <v>107</v>
      </c>
      <c r="R1" s="126"/>
      <c r="S1" s="125"/>
      <c r="V1" s="127" t="s">
        <v>109</v>
      </c>
    </row>
    <row r="2" spans="1:36" s="6" customFormat="1" x14ac:dyDescent="0.25">
      <c r="C2" s="121" t="s">
        <v>1</v>
      </c>
      <c r="D2" s="6" t="s">
        <v>7</v>
      </c>
      <c r="E2" s="8" t="s">
        <v>8</v>
      </c>
      <c r="F2" s="117" t="s">
        <v>96</v>
      </c>
      <c r="G2" s="6" t="s">
        <v>16</v>
      </c>
      <c r="H2" s="6" t="s">
        <v>7</v>
      </c>
      <c r="I2" s="10" t="s">
        <v>8</v>
      </c>
      <c r="J2" s="82" t="s">
        <v>97</v>
      </c>
      <c r="K2" s="82" t="s">
        <v>42</v>
      </c>
      <c r="L2" s="118" t="s">
        <v>4</v>
      </c>
      <c r="M2" s="6" t="s">
        <v>7</v>
      </c>
      <c r="N2" s="6" t="s">
        <v>8</v>
      </c>
      <c r="O2" s="6" t="s">
        <v>99</v>
      </c>
      <c r="P2" s="8" t="s">
        <v>98</v>
      </c>
      <c r="Q2" s="118" t="s">
        <v>45</v>
      </c>
      <c r="R2" s="12" t="s">
        <v>7</v>
      </c>
      <c r="S2" s="8" t="s">
        <v>8</v>
      </c>
      <c r="T2" s="12" t="s">
        <v>100</v>
      </c>
      <c r="U2" s="12" t="s">
        <v>8</v>
      </c>
      <c r="V2" s="128"/>
      <c r="W2" s="7" t="s">
        <v>9</v>
      </c>
      <c r="X2" s="9" t="s">
        <v>5</v>
      </c>
      <c r="Y2" s="6" t="s">
        <v>40</v>
      </c>
      <c r="Z2" s="9" t="s">
        <v>5</v>
      </c>
      <c r="AA2" s="6" t="s">
        <v>11</v>
      </c>
      <c r="AB2" s="9" t="s">
        <v>5</v>
      </c>
      <c r="AC2" s="6" t="s">
        <v>12</v>
      </c>
      <c r="AD2" s="9" t="s">
        <v>5</v>
      </c>
      <c r="AE2" s="6" t="s">
        <v>39</v>
      </c>
      <c r="AF2" s="9" t="s">
        <v>5</v>
      </c>
      <c r="AG2" s="6" t="s">
        <v>13</v>
      </c>
      <c r="AH2" s="9" t="s">
        <v>5</v>
      </c>
      <c r="AI2" s="6" t="s">
        <v>41</v>
      </c>
      <c r="AJ2" s="37" t="s">
        <v>5</v>
      </c>
    </row>
    <row r="3" spans="1:36" x14ac:dyDescent="0.25">
      <c r="A3" s="1" t="s">
        <v>102</v>
      </c>
      <c r="B3" s="81">
        <v>41275</v>
      </c>
      <c r="C3" s="122">
        <v>13.31</v>
      </c>
      <c r="D3" s="2">
        <v>0.21319444444444444</v>
      </c>
      <c r="E3" s="15">
        <v>4.7349537037037037E-2</v>
      </c>
      <c r="F3" s="113"/>
      <c r="I3" s="51"/>
      <c r="J3" s="59"/>
      <c r="K3" s="26"/>
      <c r="O3" s="46"/>
      <c r="P3" s="15"/>
      <c r="S3" s="4"/>
      <c r="T3" s="120">
        <f>C3+O3+Q3</f>
        <v>13.31</v>
      </c>
      <c r="U3" s="14">
        <f>E3+P3</f>
        <v>4.7349537037037037E-2</v>
      </c>
      <c r="W3" s="3">
        <v>82.4</v>
      </c>
      <c r="AE3"/>
      <c r="AJ3" s="39"/>
    </row>
    <row r="4" spans="1:36" x14ac:dyDescent="0.25">
      <c r="A4" s="1" t="s">
        <v>103</v>
      </c>
      <c r="B4" s="81">
        <v>41277</v>
      </c>
      <c r="C4" s="122">
        <v>12.9</v>
      </c>
      <c r="D4" s="2">
        <v>0.19166666666666665</v>
      </c>
      <c r="E4" s="15">
        <v>4.1192129629629634E-2</v>
      </c>
      <c r="F4" s="113"/>
      <c r="I4" s="11"/>
      <c r="J4" s="59"/>
      <c r="K4" s="26"/>
      <c r="O4" s="46"/>
      <c r="P4" s="15"/>
      <c r="S4" s="4"/>
      <c r="T4" s="120">
        <f t="shared" ref="T4:T35" si="0">C4+O4+Q4</f>
        <v>12.9</v>
      </c>
      <c r="U4" s="14">
        <f t="shared" ref="U4:U35" si="1">E4+P4</f>
        <v>4.1192129629629634E-2</v>
      </c>
      <c r="W4" s="3"/>
      <c r="AE4"/>
      <c r="AJ4" s="37"/>
    </row>
    <row r="5" spans="1:36" x14ac:dyDescent="0.25">
      <c r="A5" s="1" t="s">
        <v>104</v>
      </c>
      <c r="B5" s="81">
        <v>41278</v>
      </c>
      <c r="C5" s="122">
        <v>16.36</v>
      </c>
      <c r="D5" s="2">
        <v>0.18888888888888888</v>
      </c>
      <c r="E5" s="15">
        <v>5.1481481481481482E-2</v>
      </c>
      <c r="F5" s="113"/>
      <c r="H5" s="2"/>
      <c r="I5" s="26"/>
      <c r="J5" s="59"/>
      <c r="K5" s="26"/>
      <c r="M5" s="2"/>
      <c r="N5" s="2"/>
      <c r="O5" s="46"/>
      <c r="P5" s="15"/>
      <c r="S5" s="4"/>
      <c r="T5" s="120">
        <f t="shared" si="0"/>
        <v>16.36</v>
      </c>
      <c r="U5" s="14">
        <f t="shared" si="1"/>
        <v>5.1481481481481482E-2</v>
      </c>
      <c r="W5" s="3"/>
      <c r="AE5"/>
      <c r="AJ5" s="37"/>
    </row>
    <row r="6" spans="1:36" x14ac:dyDescent="0.25">
      <c r="A6" s="1" t="s">
        <v>105</v>
      </c>
      <c r="B6" s="81">
        <v>41280</v>
      </c>
      <c r="C6" s="122">
        <v>24.02</v>
      </c>
      <c r="D6" s="2">
        <v>0.20208333333333331</v>
      </c>
      <c r="E6" s="47">
        <v>8.082175925925926E-2</v>
      </c>
      <c r="F6" s="114"/>
      <c r="H6" s="2"/>
      <c r="I6" s="26"/>
      <c r="J6" s="59"/>
      <c r="K6" s="26"/>
      <c r="M6" s="2"/>
      <c r="N6" s="2"/>
      <c r="O6" s="46"/>
      <c r="P6" s="15"/>
      <c r="S6" s="4"/>
      <c r="T6" s="120">
        <f t="shared" si="0"/>
        <v>24.02</v>
      </c>
      <c r="U6" s="14">
        <f t="shared" si="1"/>
        <v>8.082175925925926E-2</v>
      </c>
      <c r="W6" s="3"/>
      <c r="AE6"/>
      <c r="AJ6" s="37"/>
    </row>
    <row r="7" spans="1:36" x14ac:dyDescent="0.25">
      <c r="A7" s="1" t="s">
        <v>102</v>
      </c>
      <c r="B7" s="81">
        <v>41282</v>
      </c>
      <c r="C7" s="122">
        <v>11.23</v>
      </c>
      <c r="D7" s="2">
        <v>0.19791666666666666</v>
      </c>
      <c r="E7" s="47">
        <v>3.7002314814814814E-2</v>
      </c>
      <c r="F7" s="114"/>
      <c r="H7" s="2"/>
      <c r="I7" s="26"/>
      <c r="J7" s="59"/>
      <c r="K7" s="26"/>
      <c r="M7" s="2"/>
      <c r="N7" s="2"/>
      <c r="O7" s="46"/>
      <c r="P7" s="15"/>
      <c r="S7" s="4"/>
      <c r="T7" s="120">
        <f t="shared" si="0"/>
        <v>11.23</v>
      </c>
      <c r="U7" s="14">
        <f t="shared" si="1"/>
        <v>3.7002314814814814E-2</v>
      </c>
      <c r="W7" s="3"/>
      <c r="AE7"/>
      <c r="AJ7" s="37"/>
    </row>
    <row r="8" spans="1:36" x14ac:dyDescent="0.25">
      <c r="A8" s="1" t="s">
        <v>103</v>
      </c>
      <c r="B8" s="81">
        <v>41284</v>
      </c>
      <c r="C8" s="122"/>
      <c r="D8" s="2"/>
      <c r="E8" s="47"/>
      <c r="F8" s="114" t="s">
        <v>37</v>
      </c>
      <c r="G8">
        <v>3.93</v>
      </c>
      <c r="H8" s="2">
        <v>0.19930555555555554</v>
      </c>
      <c r="I8" s="26">
        <v>1.3090277777777779E-2</v>
      </c>
      <c r="J8" s="59">
        <f>0.441+0.454+0.431</f>
        <v>1.3260000000000001</v>
      </c>
      <c r="K8" s="26">
        <v>2.0833333333333333E-3</v>
      </c>
      <c r="L8" s="35">
        <v>3</v>
      </c>
      <c r="M8" s="2">
        <v>0.16250000000000001</v>
      </c>
      <c r="N8" s="2">
        <v>1.0902777777777777E-2</v>
      </c>
      <c r="O8" s="46">
        <f>L8+J8+G8</f>
        <v>8.2560000000000002</v>
      </c>
      <c r="P8" s="15">
        <f>N8+K8+I8</f>
        <v>2.6076388888888889E-2</v>
      </c>
      <c r="S8" s="4"/>
      <c r="T8" s="120">
        <f t="shared" si="0"/>
        <v>8.2560000000000002</v>
      </c>
      <c r="U8" s="14">
        <f t="shared" si="1"/>
        <v>2.6076388888888889E-2</v>
      </c>
      <c r="W8" s="3"/>
      <c r="AE8"/>
      <c r="AJ8" s="37"/>
    </row>
    <row r="9" spans="1:36" x14ac:dyDescent="0.25">
      <c r="A9" s="1" t="s">
        <v>104</v>
      </c>
      <c r="B9" s="81">
        <v>41285</v>
      </c>
      <c r="C9" s="122">
        <v>12.37</v>
      </c>
      <c r="D9" s="2">
        <v>0.18611111111111112</v>
      </c>
      <c r="E9" s="47">
        <v>3.8391203703703698E-2</v>
      </c>
      <c r="F9" s="114"/>
      <c r="H9" s="2"/>
      <c r="I9" s="26"/>
      <c r="J9" s="59"/>
      <c r="K9" s="26"/>
      <c r="M9" s="2"/>
      <c r="N9" s="2"/>
      <c r="O9" s="46"/>
      <c r="P9" s="15"/>
      <c r="S9" s="4"/>
      <c r="T9" s="120">
        <f t="shared" si="0"/>
        <v>12.37</v>
      </c>
      <c r="U9" s="14">
        <f t="shared" si="1"/>
        <v>3.8391203703703698E-2</v>
      </c>
      <c r="W9" s="3"/>
      <c r="AE9"/>
      <c r="AJ9" s="37"/>
    </row>
    <row r="10" spans="1:36" x14ac:dyDescent="0.25">
      <c r="A10" s="1" t="s">
        <v>105</v>
      </c>
      <c r="B10" s="81">
        <v>41287</v>
      </c>
      <c r="C10" s="122">
        <v>18.579999999999998</v>
      </c>
      <c r="D10" s="2">
        <v>0.20138888888888887</v>
      </c>
      <c r="E10" s="47">
        <v>6.2314814814814816E-2</v>
      </c>
      <c r="F10" s="114"/>
      <c r="H10" s="2"/>
      <c r="I10" s="26"/>
      <c r="J10" s="59"/>
      <c r="K10" s="26"/>
      <c r="M10" s="2"/>
      <c r="N10" s="2"/>
      <c r="O10" s="46"/>
      <c r="P10" s="15"/>
      <c r="S10" s="4"/>
      <c r="T10" s="120">
        <f t="shared" si="0"/>
        <v>18.579999999999998</v>
      </c>
      <c r="U10" s="14">
        <f t="shared" si="1"/>
        <v>6.2314814814814816E-2</v>
      </c>
      <c r="W10" s="3"/>
      <c r="AE10"/>
      <c r="AJ10" s="37"/>
    </row>
    <row r="11" spans="1:36" x14ac:dyDescent="0.25">
      <c r="A11" s="1" t="s">
        <v>102</v>
      </c>
      <c r="B11" s="81">
        <v>41289</v>
      </c>
      <c r="C11" s="122">
        <v>10.32</v>
      </c>
      <c r="D11" s="2">
        <v>0.2076388888888889</v>
      </c>
      <c r="E11" s="47">
        <v>3.5694444444444445E-2</v>
      </c>
      <c r="F11" s="114"/>
      <c r="H11" s="2"/>
      <c r="I11" s="26"/>
      <c r="J11" s="59"/>
      <c r="K11" s="26"/>
      <c r="M11" s="2"/>
      <c r="N11" s="2"/>
      <c r="O11" s="46"/>
      <c r="P11" s="15"/>
      <c r="S11" s="4"/>
      <c r="T11" s="120">
        <f t="shared" si="0"/>
        <v>10.32</v>
      </c>
      <c r="U11" s="14">
        <f t="shared" si="1"/>
        <v>3.5694444444444445E-2</v>
      </c>
      <c r="W11" s="3">
        <v>81.5</v>
      </c>
      <c r="X11" s="9">
        <f>W11-W3</f>
        <v>-0.90000000000000568</v>
      </c>
      <c r="AE11"/>
      <c r="AJ11" s="37"/>
    </row>
    <row r="12" spans="1:36" x14ac:dyDescent="0.25">
      <c r="A12" s="1" t="s">
        <v>103</v>
      </c>
      <c r="B12" s="81">
        <v>41291</v>
      </c>
      <c r="C12" s="122">
        <v>8.5</v>
      </c>
      <c r="D12" s="2">
        <v>0.20416666666666669</v>
      </c>
      <c r="E12" s="47">
        <v>2.8935185185185185E-2</v>
      </c>
      <c r="F12" s="114"/>
      <c r="H12" s="2"/>
      <c r="I12" s="26"/>
      <c r="J12" s="59"/>
      <c r="K12" s="26"/>
      <c r="M12" s="2"/>
      <c r="N12" s="2"/>
      <c r="O12" s="46"/>
      <c r="P12" s="15"/>
      <c r="S12" s="4"/>
      <c r="T12" s="120">
        <f t="shared" si="0"/>
        <v>8.5</v>
      </c>
      <c r="U12" s="14">
        <f t="shared" si="1"/>
        <v>2.8935185185185185E-2</v>
      </c>
      <c r="W12" s="3"/>
      <c r="AE12"/>
      <c r="AJ12" s="37"/>
    </row>
    <row r="13" spans="1:36" x14ac:dyDescent="0.25">
      <c r="A13" s="1" t="s">
        <v>105</v>
      </c>
      <c r="B13" s="81">
        <v>41294</v>
      </c>
      <c r="C13" s="122"/>
      <c r="D13" s="2"/>
      <c r="E13" s="47"/>
      <c r="F13" s="114"/>
      <c r="H13" s="2"/>
      <c r="I13" s="26"/>
      <c r="J13" s="59"/>
      <c r="K13" s="26"/>
      <c r="M13" s="2"/>
      <c r="N13" s="2"/>
      <c r="O13" s="46"/>
      <c r="P13" s="15"/>
      <c r="Q13" s="46">
        <v>42.3</v>
      </c>
      <c r="R13" s="14">
        <v>0.21666666666666667</v>
      </c>
      <c r="S13" s="15">
        <v>0.15282407407407408</v>
      </c>
      <c r="T13" s="120">
        <f t="shared" si="0"/>
        <v>42.3</v>
      </c>
      <c r="U13" s="14">
        <f t="shared" si="1"/>
        <v>0</v>
      </c>
      <c r="W13" s="3"/>
      <c r="AE13"/>
      <c r="AJ13" s="37"/>
    </row>
    <row r="14" spans="1:36" x14ac:dyDescent="0.25">
      <c r="A14" s="1" t="s">
        <v>15</v>
      </c>
      <c r="B14" s="81">
        <v>41297</v>
      </c>
      <c r="C14" s="122">
        <v>8.2200000000000006</v>
      </c>
      <c r="D14" s="2">
        <v>0.20277777777777781</v>
      </c>
      <c r="E14" s="47">
        <v>2.7766203703703706E-2</v>
      </c>
      <c r="F14" s="114"/>
      <c r="H14" s="2"/>
      <c r="I14" s="26"/>
      <c r="J14" s="59"/>
      <c r="K14" s="26"/>
      <c r="M14" s="2"/>
      <c r="N14" s="2"/>
      <c r="O14" s="46"/>
      <c r="P14" s="15"/>
      <c r="S14" s="4"/>
      <c r="T14" s="120">
        <f t="shared" si="0"/>
        <v>8.2200000000000006</v>
      </c>
      <c r="U14" s="14">
        <f t="shared" si="1"/>
        <v>2.7766203703703706E-2</v>
      </c>
      <c r="W14" s="3">
        <v>81</v>
      </c>
      <c r="X14" s="9">
        <f>W14-W11</f>
        <v>-0.5</v>
      </c>
      <c r="AE14"/>
      <c r="AJ14" s="37"/>
    </row>
    <row r="15" spans="1:36" x14ac:dyDescent="0.25">
      <c r="A15" s="1" t="s">
        <v>108</v>
      </c>
      <c r="B15" s="81">
        <v>41302</v>
      </c>
      <c r="C15" s="122">
        <v>13.76</v>
      </c>
      <c r="D15" s="2">
        <v>0.20486111111111113</v>
      </c>
      <c r="E15" s="47">
        <v>4.701388888888889E-2</v>
      </c>
      <c r="F15" s="114"/>
      <c r="H15" s="2"/>
      <c r="I15" s="26"/>
      <c r="J15" s="59"/>
      <c r="K15" s="26"/>
      <c r="M15" s="2"/>
      <c r="N15" s="2"/>
      <c r="O15" s="46"/>
      <c r="P15" s="15"/>
      <c r="S15" s="4"/>
      <c r="T15" s="120">
        <f t="shared" si="0"/>
        <v>13.76</v>
      </c>
      <c r="U15" s="14">
        <f t="shared" si="1"/>
        <v>4.701388888888889E-2</v>
      </c>
      <c r="W15" s="3">
        <v>82.3</v>
      </c>
      <c r="X15" s="6">
        <f>W15-W14</f>
        <v>1.2999999999999972</v>
      </c>
      <c r="AE15"/>
      <c r="AJ15" s="37"/>
    </row>
    <row r="16" spans="1:36" x14ac:dyDescent="0.25">
      <c r="A16" s="17" t="s">
        <v>103</v>
      </c>
      <c r="B16" s="85">
        <v>41305</v>
      </c>
      <c r="C16" s="129">
        <v>12.18</v>
      </c>
      <c r="D16" s="21">
        <v>0.20416666666666669</v>
      </c>
      <c r="E16" s="130">
        <v>4.1388888888888892E-2</v>
      </c>
      <c r="F16" s="131"/>
      <c r="G16" s="18"/>
      <c r="H16" s="21"/>
      <c r="I16" s="132"/>
      <c r="J16" s="57"/>
      <c r="K16" s="132"/>
      <c r="L16" s="133"/>
      <c r="M16" s="21"/>
      <c r="N16" s="21"/>
      <c r="O16" s="57"/>
      <c r="P16" s="23"/>
      <c r="Q16" s="57"/>
      <c r="R16" s="20"/>
      <c r="S16" s="24"/>
      <c r="T16" s="134">
        <f t="shared" si="0"/>
        <v>12.18</v>
      </c>
      <c r="U16" s="22">
        <f t="shared" si="1"/>
        <v>4.1388888888888892E-2</v>
      </c>
      <c r="V16" s="134">
        <f>SUM(T3:T16)</f>
        <v>212.30600000000001</v>
      </c>
      <c r="W16" s="19"/>
      <c r="X16" s="36"/>
      <c r="Y16" s="18"/>
      <c r="Z16" s="36"/>
      <c r="AA16" s="18"/>
      <c r="AB16" s="36"/>
      <c r="AC16" s="18"/>
      <c r="AD16" s="36"/>
      <c r="AE16" s="18"/>
      <c r="AF16" s="36"/>
      <c r="AG16" s="18"/>
      <c r="AH16" s="36"/>
      <c r="AI16" s="18"/>
      <c r="AJ16" s="38"/>
    </row>
    <row r="17" spans="1:36" x14ac:dyDescent="0.25">
      <c r="A17" s="1" t="s">
        <v>104</v>
      </c>
      <c r="B17" s="81">
        <v>41306</v>
      </c>
      <c r="C17" s="122">
        <v>20.03</v>
      </c>
      <c r="D17" s="2">
        <v>0.20694444444444446</v>
      </c>
      <c r="E17" s="47">
        <v>6.8993055555555557E-2</v>
      </c>
      <c r="F17" s="114"/>
      <c r="H17" s="2"/>
      <c r="I17" s="26"/>
      <c r="J17" s="59"/>
      <c r="K17" s="26"/>
      <c r="M17" s="2"/>
      <c r="N17" s="2"/>
      <c r="O17" s="46"/>
      <c r="P17" s="15"/>
      <c r="S17" s="4"/>
      <c r="T17" s="120">
        <f t="shared" si="0"/>
        <v>20.03</v>
      </c>
      <c r="U17" s="14">
        <f t="shared" si="1"/>
        <v>6.8993055555555557E-2</v>
      </c>
      <c r="W17" s="3"/>
      <c r="AE17"/>
      <c r="AJ17" s="37"/>
    </row>
    <row r="18" spans="1:36" x14ac:dyDescent="0.25">
      <c r="A18" s="1" t="s">
        <v>105</v>
      </c>
      <c r="B18" s="81">
        <v>41308</v>
      </c>
      <c r="C18" s="122">
        <v>22.08</v>
      </c>
      <c r="D18" s="2">
        <v>0.20694444444444446</v>
      </c>
      <c r="E18" s="47">
        <v>7.6203703703703704E-2</v>
      </c>
      <c r="F18" s="114"/>
      <c r="H18" s="2"/>
      <c r="I18" s="26"/>
      <c r="J18" s="59"/>
      <c r="K18" s="26"/>
      <c r="M18" s="2"/>
      <c r="N18" s="2"/>
      <c r="O18" s="46"/>
      <c r="P18" s="15"/>
      <c r="S18" s="4"/>
      <c r="T18" s="120">
        <f t="shared" si="0"/>
        <v>22.08</v>
      </c>
      <c r="U18" s="14">
        <f t="shared" si="1"/>
        <v>7.6203703703703704E-2</v>
      </c>
      <c r="W18" s="3">
        <v>81.8</v>
      </c>
      <c r="X18" s="9">
        <f>W18-W15</f>
        <v>-0.5</v>
      </c>
      <c r="AE18"/>
      <c r="AJ18" s="37"/>
    </row>
    <row r="19" spans="1:36" x14ac:dyDescent="0.25">
      <c r="A19" s="1" t="s">
        <v>102</v>
      </c>
      <c r="B19" s="81">
        <v>41310</v>
      </c>
      <c r="C19" s="122">
        <v>13.14</v>
      </c>
      <c r="D19" s="2">
        <v>0.20069444444444443</v>
      </c>
      <c r="E19" s="47">
        <v>4.3981481481481483E-2</v>
      </c>
      <c r="F19" s="114"/>
      <c r="H19" s="2"/>
      <c r="I19" s="26"/>
      <c r="J19" s="59"/>
      <c r="K19" s="26"/>
      <c r="M19" s="2"/>
      <c r="N19" s="2"/>
      <c r="O19" s="46"/>
      <c r="P19" s="15"/>
      <c r="S19" s="4"/>
      <c r="T19" s="120">
        <f t="shared" si="0"/>
        <v>13.14</v>
      </c>
      <c r="U19" s="14">
        <f t="shared" si="1"/>
        <v>4.3981481481481483E-2</v>
      </c>
      <c r="W19" s="3"/>
      <c r="AE19"/>
      <c r="AJ19" s="37"/>
    </row>
    <row r="20" spans="1:36" x14ac:dyDescent="0.25">
      <c r="A20" s="1" t="s">
        <v>103</v>
      </c>
      <c r="B20" s="81">
        <v>41312</v>
      </c>
      <c r="C20" s="122">
        <v>12.33</v>
      </c>
      <c r="D20" s="2">
        <v>0.19999999999999998</v>
      </c>
      <c r="E20" s="47">
        <v>4.1111111111111112E-2</v>
      </c>
      <c r="F20" s="114"/>
      <c r="H20" s="2"/>
      <c r="I20" s="26"/>
      <c r="J20" s="59"/>
      <c r="K20" s="26"/>
      <c r="M20" s="2"/>
      <c r="N20" s="2"/>
      <c r="O20" s="46"/>
      <c r="P20" s="15"/>
      <c r="S20" s="4"/>
      <c r="T20" s="120">
        <f t="shared" si="0"/>
        <v>12.33</v>
      </c>
      <c r="U20" s="14">
        <f t="shared" si="1"/>
        <v>4.1111111111111112E-2</v>
      </c>
      <c r="W20" s="3"/>
      <c r="AE20"/>
      <c r="AJ20" s="37"/>
    </row>
    <row r="21" spans="1:36" x14ac:dyDescent="0.25">
      <c r="A21" s="1"/>
      <c r="B21" s="81"/>
      <c r="C21" s="122"/>
      <c r="D21" s="2"/>
      <c r="E21" s="47"/>
      <c r="F21" s="114"/>
      <c r="H21" s="2"/>
      <c r="I21" s="26"/>
      <c r="J21" s="59"/>
      <c r="K21" s="26"/>
      <c r="M21" s="2"/>
      <c r="N21" s="2"/>
      <c r="O21" s="46"/>
      <c r="P21" s="15"/>
      <c r="S21" s="4"/>
      <c r="T21" s="120">
        <f t="shared" si="0"/>
        <v>0</v>
      </c>
      <c r="U21" s="14">
        <f t="shared" si="1"/>
        <v>0</v>
      </c>
      <c r="W21" s="3"/>
      <c r="AE21"/>
      <c r="AJ21" s="37"/>
    </row>
    <row r="22" spans="1:36" x14ac:dyDescent="0.25">
      <c r="A22" s="1"/>
      <c r="B22" s="81"/>
      <c r="C22" s="122"/>
      <c r="D22" s="2"/>
      <c r="E22" s="47"/>
      <c r="F22" s="114"/>
      <c r="H22" s="2"/>
      <c r="I22" s="26"/>
      <c r="J22" s="59"/>
      <c r="K22" s="26"/>
      <c r="M22" s="2"/>
      <c r="N22" s="2"/>
      <c r="O22" s="46"/>
      <c r="P22" s="15"/>
      <c r="S22" s="4"/>
      <c r="T22" s="120">
        <f t="shared" si="0"/>
        <v>0</v>
      </c>
      <c r="U22" s="14">
        <f t="shared" si="1"/>
        <v>0</v>
      </c>
      <c r="W22" s="3"/>
      <c r="AE22"/>
      <c r="AJ22" s="37"/>
    </row>
    <row r="23" spans="1:36" x14ac:dyDescent="0.25">
      <c r="A23" s="1"/>
      <c r="B23" s="81"/>
      <c r="C23" s="122"/>
      <c r="D23" s="2"/>
      <c r="E23" s="47"/>
      <c r="F23" s="114"/>
      <c r="H23" s="2"/>
      <c r="I23" s="26"/>
      <c r="J23" s="59"/>
      <c r="K23" s="26"/>
      <c r="M23" s="2"/>
      <c r="N23" s="2"/>
      <c r="O23" s="46"/>
      <c r="P23" s="15"/>
      <c r="S23" s="4"/>
      <c r="T23" s="120">
        <f t="shared" si="0"/>
        <v>0</v>
      </c>
      <c r="U23" s="14">
        <f t="shared" si="1"/>
        <v>0</v>
      </c>
      <c r="W23" s="3"/>
      <c r="AE23"/>
      <c r="AJ23" s="37"/>
    </row>
    <row r="24" spans="1:36" x14ac:dyDescent="0.25">
      <c r="A24" s="1"/>
      <c r="B24" s="81"/>
      <c r="C24" s="122"/>
      <c r="D24" s="2"/>
      <c r="E24" s="47"/>
      <c r="F24" s="114"/>
      <c r="H24" s="2"/>
      <c r="I24" s="26"/>
      <c r="J24" s="59"/>
      <c r="K24" s="26"/>
      <c r="M24" s="2"/>
      <c r="N24" s="2"/>
      <c r="O24" s="46"/>
      <c r="P24" s="15"/>
      <c r="S24" s="4"/>
      <c r="T24" s="120">
        <f t="shared" si="0"/>
        <v>0</v>
      </c>
      <c r="U24" s="14">
        <f t="shared" si="1"/>
        <v>0</v>
      </c>
      <c r="W24" s="3"/>
      <c r="AE24"/>
      <c r="AJ24" s="37"/>
    </row>
    <row r="25" spans="1:36" x14ac:dyDescent="0.25">
      <c r="A25" s="1"/>
      <c r="B25" s="81"/>
      <c r="C25" s="122"/>
      <c r="D25" s="2"/>
      <c r="E25" s="47"/>
      <c r="F25" s="114"/>
      <c r="H25" s="2"/>
      <c r="I25" s="26"/>
      <c r="J25" s="59"/>
      <c r="K25" s="26"/>
      <c r="M25" s="2"/>
      <c r="N25" s="2"/>
      <c r="O25" s="46"/>
      <c r="P25" s="15"/>
      <c r="S25" s="4"/>
      <c r="T25" s="120">
        <f t="shared" si="0"/>
        <v>0</v>
      </c>
      <c r="U25" s="14">
        <f t="shared" si="1"/>
        <v>0</v>
      </c>
      <c r="W25" s="3"/>
      <c r="AE25"/>
      <c r="AJ25" s="37"/>
    </row>
    <row r="26" spans="1:36" x14ac:dyDescent="0.25">
      <c r="A26" s="1"/>
      <c r="B26" s="81"/>
      <c r="C26" s="122"/>
      <c r="D26" s="2"/>
      <c r="E26" s="47"/>
      <c r="F26" s="114"/>
      <c r="H26" s="2"/>
      <c r="I26" s="26"/>
      <c r="J26" s="59"/>
      <c r="K26" s="26"/>
      <c r="M26" s="2"/>
      <c r="N26" s="2"/>
      <c r="O26" s="46"/>
      <c r="P26" s="15"/>
      <c r="S26" s="4"/>
      <c r="T26" s="120">
        <f t="shared" si="0"/>
        <v>0</v>
      </c>
      <c r="U26" s="14">
        <f t="shared" si="1"/>
        <v>0</v>
      </c>
      <c r="W26" s="3"/>
      <c r="AE26"/>
      <c r="AJ26" s="37"/>
    </row>
    <row r="27" spans="1:36" x14ac:dyDescent="0.25">
      <c r="A27" s="1"/>
      <c r="B27" s="81"/>
      <c r="C27" s="122"/>
      <c r="D27" s="2"/>
      <c r="E27" s="47"/>
      <c r="F27" s="114"/>
      <c r="H27" s="2"/>
      <c r="I27" s="26"/>
      <c r="J27" s="59"/>
      <c r="K27" s="26"/>
      <c r="M27" s="2"/>
      <c r="N27" s="2"/>
      <c r="O27" s="46"/>
      <c r="P27" s="15"/>
      <c r="S27" s="4"/>
      <c r="T27" s="120">
        <f t="shared" si="0"/>
        <v>0</v>
      </c>
      <c r="U27" s="14">
        <f t="shared" si="1"/>
        <v>0</v>
      </c>
      <c r="W27" s="3"/>
      <c r="AE27"/>
      <c r="AJ27" s="37"/>
    </row>
    <row r="28" spans="1:36" x14ac:dyDescent="0.25">
      <c r="A28" s="1"/>
      <c r="B28" s="81"/>
      <c r="C28" s="122"/>
      <c r="D28" s="2"/>
      <c r="E28" s="47"/>
      <c r="F28" s="114"/>
      <c r="H28" s="2"/>
      <c r="I28" s="26"/>
      <c r="J28" s="59"/>
      <c r="K28" s="26"/>
      <c r="M28" s="2"/>
      <c r="N28" s="2"/>
      <c r="O28" s="46"/>
      <c r="P28" s="15"/>
      <c r="S28" s="4"/>
      <c r="T28" s="120">
        <f t="shared" si="0"/>
        <v>0</v>
      </c>
      <c r="U28" s="14">
        <f t="shared" si="1"/>
        <v>0</v>
      </c>
      <c r="W28" s="3"/>
      <c r="AE28"/>
      <c r="AJ28" s="37"/>
    </row>
    <row r="29" spans="1:36" x14ac:dyDescent="0.25">
      <c r="A29" s="1"/>
      <c r="B29" s="81"/>
      <c r="C29" s="122"/>
      <c r="D29" s="2"/>
      <c r="E29" s="47"/>
      <c r="F29" s="114"/>
      <c r="H29" s="2"/>
      <c r="I29" s="26"/>
      <c r="J29" s="59"/>
      <c r="K29" s="26"/>
      <c r="M29" s="2"/>
      <c r="N29" s="2"/>
      <c r="O29" s="46"/>
      <c r="P29" s="15"/>
      <c r="S29" s="4"/>
      <c r="T29" s="120">
        <f t="shared" si="0"/>
        <v>0</v>
      </c>
      <c r="U29" s="14">
        <f t="shared" si="1"/>
        <v>0</v>
      </c>
      <c r="W29" s="3"/>
      <c r="AE29"/>
      <c r="AJ29" s="37"/>
    </row>
    <row r="30" spans="1:36" x14ac:dyDescent="0.25">
      <c r="A30" s="1"/>
      <c r="B30" s="81"/>
      <c r="C30" s="122"/>
      <c r="D30" s="2"/>
      <c r="E30" s="47"/>
      <c r="F30" s="114"/>
      <c r="H30" s="2"/>
      <c r="I30" s="26"/>
      <c r="J30" s="59"/>
      <c r="K30" s="26"/>
      <c r="M30" s="2"/>
      <c r="N30" s="2"/>
      <c r="O30" s="46"/>
      <c r="P30" s="15"/>
      <c r="S30" s="4"/>
      <c r="T30" s="120">
        <f t="shared" si="0"/>
        <v>0</v>
      </c>
      <c r="U30" s="14">
        <f t="shared" si="1"/>
        <v>0</v>
      </c>
      <c r="W30" s="3"/>
      <c r="AE30"/>
      <c r="AJ30" s="37"/>
    </row>
    <row r="31" spans="1:36" x14ac:dyDescent="0.25">
      <c r="A31" s="1"/>
      <c r="B31" s="81"/>
      <c r="C31" s="122"/>
      <c r="D31" s="2"/>
      <c r="E31" s="47"/>
      <c r="F31" s="114"/>
      <c r="H31" s="2"/>
      <c r="I31" s="26"/>
      <c r="J31" s="59"/>
      <c r="K31" s="26"/>
      <c r="M31" s="2"/>
      <c r="N31" s="2"/>
      <c r="O31" s="46"/>
      <c r="P31" s="15"/>
      <c r="S31" s="4"/>
      <c r="T31" s="120">
        <f t="shared" si="0"/>
        <v>0</v>
      </c>
      <c r="U31" s="14">
        <f t="shared" si="1"/>
        <v>0</v>
      </c>
      <c r="W31" s="3"/>
      <c r="AE31"/>
      <c r="AJ31" s="37"/>
    </row>
    <row r="32" spans="1:36" x14ac:dyDescent="0.25">
      <c r="A32" s="1"/>
      <c r="B32" s="81"/>
      <c r="C32" s="122"/>
      <c r="D32" s="2"/>
      <c r="E32" s="47"/>
      <c r="F32" s="114"/>
      <c r="H32" s="2"/>
      <c r="I32" s="26"/>
      <c r="J32" s="59"/>
      <c r="K32" s="26"/>
      <c r="M32" s="2"/>
      <c r="N32" s="2"/>
      <c r="O32" s="46"/>
      <c r="P32" s="15"/>
      <c r="S32" s="4"/>
      <c r="T32" s="120">
        <f t="shared" si="0"/>
        <v>0</v>
      </c>
      <c r="U32" s="14">
        <f t="shared" si="1"/>
        <v>0</v>
      </c>
      <c r="W32" s="3"/>
      <c r="AE32"/>
      <c r="AJ32" s="37"/>
    </row>
    <row r="33" spans="1:36" x14ac:dyDescent="0.25">
      <c r="A33" s="1"/>
      <c r="B33" s="81"/>
      <c r="C33" s="122"/>
      <c r="D33" s="2"/>
      <c r="E33" s="15"/>
      <c r="F33" s="113"/>
      <c r="H33" s="2"/>
      <c r="I33" s="26"/>
      <c r="J33" s="59"/>
      <c r="K33" s="26"/>
      <c r="M33" s="2"/>
      <c r="N33" s="2"/>
      <c r="O33" s="46"/>
      <c r="P33" s="15"/>
      <c r="S33" s="4"/>
      <c r="T33" s="120">
        <f t="shared" si="0"/>
        <v>0</v>
      </c>
      <c r="U33" s="14">
        <f t="shared" si="1"/>
        <v>0</v>
      </c>
      <c r="W33" s="3"/>
      <c r="AE33"/>
      <c r="AJ33" s="37"/>
    </row>
    <row r="34" spans="1:36" x14ac:dyDescent="0.25">
      <c r="A34" s="49"/>
      <c r="B34" s="81"/>
      <c r="C34" s="122"/>
      <c r="D34" s="2"/>
      <c r="E34" s="15"/>
      <c r="F34" s="113"/>
      <c r="G34" s="11"/>
      <c r="H34" s="11"/>
      <c r="I34" s="11"/>
      <c r="J34" s="59"/>
      <c r="K34" s="26"/>
      <c r="L34" s="119"/>
      <c r="M34" s="11"/>
      <c r="N34" s="11"/>
      <c r="O34" s="46"/>
      <c r="P34" s="15"/>
      <c r="Q34" s="59"/>
      <c r="R34" s="50"/>
      <c r="S34" s="4"/>
      <c r="T34" s="120">
        <f t="shared" si="0"/>
        <v>0</v>
      </c>
      <c r="U34" s="14">
        <f t="shared" si="1"/>
        <v>0</v>
      </c>
      <c r="W34" s="3"/>
      <c r="AE34"/>
      <c r="AJ34" s="37"/>
    </row>
    <row r="35" spans="1:36" x14ac:dyDescent="0.25">
      <c r="A35" s="49"/>
      <c r="B35" s="81"/>
      <c r="C35" s="122"/>
      <c r="D35" s="2"/>
      <c r="E35" s="15"/>
      <c r="F35" s="113"/>
      <c r="G35" s="11"/>
      <c r="H35" s="51"/>
      <c r="I35" s="26"/>
      <c r="J35" s="59"/>
      <c r="K35" s="26"/>
      <c r="L35" s="119"/>
      <c r="M35" s="11"/>
      <c r="N35" s="11"/>
      <c r="O35" s="46"/>
      <c r="P35" s="15"/>
      <c r="Q35" s="59"/>
      <c r="R35" s="52"/>
      <c r="S35" s="15"/>
      <c r="T35" s="120">
        <f t="shared" si="0"/>
        <v>0</v>
      </c>
      <c r="U35" s="14">
        <f t="shared" si="1"/>
        <v>0</v>
      </c>
      <c r="W35" s="3"/>
      <c r="AE35"/>
      <c r="AJ35" s="37"/>
    </row>
    <row r="36" spans="1:36" x14ac:dyDescent="0.25">
      <c r="A36" s="49"/>
      <c r="B36" s="81"/>
      <c r="C36" s="123"/>
      <c r="D36" s="2"/>
      <c r="E36" s="26"/>
      <c r="F36" s="113"/>
      <c r="G36" s="11"/>
      <c r="H36" s="51"/>
      <c r="I36" s="26"/>
      <c r="J36" s="59"/>
      <c r="K36" s="26"/>
      <c r="L36" s="119"/>
      <c r="M36" s="11"/>
      <c r="N36" s="11"/>
      <c r="O36" s="11"/>
      <c r="P36" s="11"/>
      <c r="Q36" s="59"/>
      <c r="R36" s="52"/>
      <c r="S36" s="26"/>
      <c r="U36" s="14"/>
      <c r="W36" s="11"/>
      <c r="AE36"/>
      <c r="AJ36" s="55"/>
    </row>
    <row r="37" spans="1:36" x14ac:dyDescent="0.25">
      <c r="E37" s="48"/>
      <c r="F37" s="115"/>
      <c r="U37" s="14"/>
    </row>
    <row r="38" spans="1:36" x14ac:dyDescent="0.25">
      <c r="C38" s="124">
        <f>SUM(C3:C35)</f>
        <v>229.33</v>
      </c>
      <c r="E38" s="48"/>
      <c r="F38" s="115"/>
      <c r="G38">
        <f>SUM(G3:G35)</f>
        <v>3.93</v>
      </c>
      <c r="J38">
        <f>SUM(J3:J35)</f>
        <v>1.3260000000000001</v>
      </c>
      <c r="L38" s="112">
        <f>SUM(L3:L35)</f>
        <v>3</v>
      </c>
      <c r="O38" s="112">
        <f>SUM(O3:O35)</f>
        <v>8.2560000000000002</v>
      </c>
      <c r="Q38" s="35">
        <f>SUM(Q3:Q35)</f>
        <v>42.3</v>
      </c>
      <c r="R38"/>
      <c r="T38" s="112">
        <f>SUM(T3:T35)</f>
        <v>279.88599999999997</v>
      </c>
    </row>
  </sheetData>
  <mergeCells count="3">
    <mergeCell ref="C1:E1"/>
    <mergeCell ref="F1:P1"/>
    <mergeCell ref="A1:B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" bestFit="1" customWidth="1"/>
    <col min="2" max="2" width="8.140625" style="93" bestFit="1" customWidth="1"/>
    <col min="3" max="3" width="32.85546875" bestFit="1" customWidth="1"/>
    <col min="4" max="4" width="13.42578125" bestFit="1" customWidth="1"/>
    <col min="5" max="5" width="13.42578125" customWidth="1"/>
    <col min="6" max="6" width="4" style="30" bestFit="1" customWidth="1"/>
    <col min="7" max="8" width="5.5703125" style="166" bestFit="1" customWidth="1"/>
    <col min="9" max="9" width="3.42578125" style="97" customWidth="1"/>
    <col min="10" max="10" width="9.140625" style="30"/>
    <col min="12" max="12" width="10.28515625" bestFit="1" customWidth="1"/>
  </cols>
  <sheetData>
    <row r="1" spans="1:10" s="6" customFormat="1" x14ac:dyDescent="0.25">
      <c r="A1" s="6" t="s">
        <v>58</v>
      </c>
      <c r="B1" s="92" t="s">
        <v>62</v>
      </c>
      <c r="C1" s="6" t="s">
        <v>60</v>
      </c>
      <c r="D1" s="6" t="s">
        <v>61</v>
      </c>
      <c r="E1" s="6" t="s">
        <v>182</v>
      </c>
      <c r="F1" s="155"/>
      <c r="G1" s="96" t="s">
        <v>8</v>
      </c>
      <c r="H1" s="96"/>
      <c r="I1" s="95"/>
      <c r="J1" s="275" t="s">
        <v>305</v>
      </c>
    </row>
    <row r="2" spans="1:10" s="6" customFormat="1" ht="15.75" thickBot="1" x14ac:dyDescent="0.3">
      <c r="B2" s="92"/>
      <c r="F2" s="141" t="s">
        <v>66</v>
      </c>
      <c r="G2" s="142" t="s">
        <v>67</v>
      </c>
      <c r="H2" s="142" t="s">
        <v>65</v>
      </c>
      <c r="I2" s="96"/>
      <c r="J2" s="275"/>
    </row>
    <row r="3" spans="1:10" s="9" customFormat="1" x14ac:dyDescent="0.25">
      <c r="A3" s="10">
        <v>1</v>
      </c>
      <c r="B3" s="178">
        <v>41049</v>
      </c>
      <c r="C3" s="10" t="s">
        <v>73</v>
      </c>
      <c r="D3" s="274" t="s">
        <v>74</v>
      </c>
      <c r="E3" s="274" t="s">
        <v>183</v>
      </c>
      <c r="F3" s="272">
        <v>3</v>
      </c>
      <c r="G3" s="144">
        <v>54</v>
      </c>
      <c r="H3" s="144">
        <v>42</v>
      </c>
      <c r="I3" s="144"/>
      <c r="J3" s="272" t="s">
        <v>306</v>
      </c>
    </row>
    <row r="4" spans="1:10" s="6" customFormat="1" ht="15.75" thickBot="1" x14ac:dyDescent="0.3">
      <c r="A4" s="151">
        <v>2</v>
      </c>
      <c r="B4" s="150">
        <v>41175</v>
      </c>
      <c r="C4" s="151" t="s">
        <v>122</v>
      </c>
      <c r="D4" s="151" t="s">
        <v>123</v>
      </c>
      <c r="E4" s="151" t="s">
        <v>183</v>
      </c>
      <c r="F4" s="141">
        <v>3</v>
      </c>
      <c r="G4" s="142">
        <v>28</v>
      </c>
      <c r="H4" s="142">
        <v>0</v>
      </c>
      <c r="I4" s="142"/>
      <c r="J4" s="141" t="s">
        <v>306</v>
      </c>
    </row>
    <row r="5" spans="1:10" s="9" customFormat="1" x14ac:dyDescent="0.25">
      <c r="A5" s="10">
        <v>3</v>
      </c>
      <c r="B5" s="273">
        <v>41294</v>
      </c>
      <c r="C5" s="274" t="s">
        <v>63</v>
      </c>
      <c r="D5" s="274" t="s">
        <v>64</v>
      </c>
      <c r="E5" s="274" t="s">
        <v>183</v>
      </c>
      <c r="F5" s="185">
        <v>3</v>
      </c>
      <c r="G5" s="144">
        <v>40</v>
      </c>
      <c r="H5" s="144">
        <v>20</v>
      </c>
      <c r="I5" s="181"/>
      <c r="J5" s="272" t="s">
        <v>306</v>
      </c>
    </row>
    <row r="6" spans="1:10" s="6" customFormat="1" x14ac:dyDescent="0.25">
      <c r="A6" s="10">
        <v>4</v>
      </c>
      <c r="B6" s="178">
        <v>41328</v>
      </c>
      <c r="C6" s="10" t="s">
        <v>68</v>
      </c>
      <c r="D6" s="10" t="s">
        <v>69</v>
      </c>
      <c r="E6" s="10" t="s">
        <v>184</v>
      </c>
      <c r="F6" s="185">
        <v>3</v>
      </c>
      <c r="G6" s="144">
        <v>39</v>
      </c>
      <c r="H6" s="144">
        <v>13</v>
      </c>
      <c r="I6" s="181"/>
      <c r="J6" s="272" t="s">
        <v>306</v>
      </c>
    </row>
    <row r="7" spans="1:10" s="6" customFormat="1" x14ac:dyDescent="0.25">
      <c r="A7" s="10">
        <v>5</v>
      </c>
      <c r="B7" s="178">
        <v>41350</v>
      </c>
      <c r="C7" s="10" t="s">
        <v>83</v>
      </c>
      <c r="D7" s="10" t="s">
        <v>84</v>
      </c>
      <c r="E7" s="10" t="s">
        <v>183</v>
      </c>
      <c r="F7" s="185">
        <v>3</v>
      </c>
      <c r="G7" s="144">
        <v>54</v>
      </c>
      <c r="H7" s="144">
        <v>9</v>
      </c>
      <c r="I7" s="269"/>
      <c r="J7" s="272" t="s">
        <v>306</v>
      </c>
    </row>
    <row r="8" spans="1:10" s="6" customFormat="1" x14ac:dyDescent="0.25">
      <c r="A8" s="10">
        <v>6</v>
      </c>
      <c r="B8" s="178">
        <v>41385</v>
      </c>
      <c r="C8" s="10" t="s">
        <v>70</v>
      </c>
      <c r="D8" s="10" t="s">
        <v>71</v>
      </c>
      <c r="E8" s="10" t="s">
        <v>184</v>
      </c>
      <c r="F8" s="185">
        <v>3</v>
      </c>
      <c r="G8" s="144">
        <v>37</v>
      </c>
      <c r="H8" s="144">
        <v>4</v>
      </c>
      <c r="I8" s="181"/>
      <c r="J8" s="272" t="s">
        <v>306</v>
      </c>
    </row>
    <row r="9" spans="1:10" s="6" customFormat="1" x14ac:dyDescent="0.25">
      <c r="A9" s="6">
        <v>7</v>
      </c>
      <c r="B9" s="92">
        <v>41413</v>
      </c>
      <c r="C9" s="6" t="s">
        <v>73</v>
      </c>
      <c r="D9" s="6" t="s">
        <v>74</v>
      </c>
      <c r="E9" s="6" t="s">
        <v>183</v>
      </c>
      <c r="F9" s="167">
        <v>3</v>
      </c>
      <c r="G9" s="356">
        <v>23</v>
      </c>
      <c r="H9" s="356">
        <v>22</v>
      </c>
      <c r="I9" s="110"/>
      <c r="J9" s="355" t="s">
        <v>306</v>
      </c>
    </row>
    <row r="10" spans="1:10" s="6" customFormat="1" x14ac:dyDescent="0.25">
      <c r="A10" s="10">
        <v>8</v>
      </c>
      <c r="B10" s="178">
        <v>41440</v>
      </c>
      <c r="C10" s="10" t="s">
        <v>90</v>
      </c>
      <c r="D10" s="10" t="s">
        <v>91</v>
      </c>
      <c r="E10" s="10" t="s">
        <v>184</v>
      </c>
      <c r="F10" s="185">
        <v>3</v>
      </c>
      <c r="G10" s="144">
        <v>32</v>
      </c>
      <c r="H10" s="144">
        <v>34</v>
      </c>
      <c r="I10" s="181"/>
      <c r="J10" s="272" t="s">
        <v>306</v>
      </c>
    </row>
    <row r="11" spans="1:10" s="6" customFormat="1" x14ac:dyDescent="0.25">
      <c r="A11" s="10">
        <v>9</v>
      </c>
      <c r="B11" s="178">
        <v>41467</v>
      </c>
      <c r="C11" s="10" t="s">
        <v>88</v>
      </c>
      <c r="D11" s="10" t="s">
        <v>89</v>
      </c>
      <c r="E11" s="10" t="s">
        <v>183</v>
      </c>
      <c r="F11" s="185">
        <v>3</v>
      </c>
      <c r="G11" s="144">
        <v>26</v>
      </c>
      <c r="H11" s="144">
        <v>12</v>
      </c>
      <c r="I11" s="181"/>
      <c r="J11" s="272"/>
    </row>
    <row r="12" spans="1:10" s="6" customFormat="1" x14ac:dyDescent="0.25">
      <c r="A12" s="10">
        <v>10</v>
      </c>
      <c r="B12" s="178">
        <v>41503</v>
      </c>
      <c r="C12" s="10" t="s">
        <v>110</v>
      </c>
      <c r="D12" s="10" t="s">
        <v>111</v>
      </c>
      <c r="E12" s="10" t="s">
        <v>183</v>
      </c>
      <c r="F12" s="185">
        <v>3</v>
      </c>
      <c r="G12" s="144">
        <v>21</v>
      </c>
      <c r="H12" s="144">
        <v>54</v>
      </c>
      <c r="I12" s="181"/>
      <c r="J12" s="272" t="s">
        <v>306</v>
      </c>
    </row>
    <row r="13" spans="1:10" s="6" customFormat="1" x14ac:dyDescent="0.25">
      <c r="A13" s="6">
        <v>11</v>
      </c>
      <c r="B13" s="92">
        <v>41517</v>
      </c>
      <c r="C13" s="6" t="s">
        <v>117</v>
      </c>
      <c r="D13" s="6" t="s">
        <v>118</v>
      </c>
      <c r="E13" s="6" t="s">
        <v>183</v>
      </c>
      <c r="F13" s="167">
        <v>3</v>
      </c>
      <c r="G13" s="351">
        <v>14</v>
      </c>
      <c r="H13" s="351">
        <v>57</v>
      </c>
      <c r="I13" s="95"/>
      <c r="J13" s="376" t="s">
        <v>306</v>
      </c>
    </row>
    <row r="14" spans="1:10" s="6" customFormat="1" x14ac:dyDescent="0.25">
      <c r="A14" s="10">
        <v>12</v>
      </c>
      <c r="B14" s="178">
        <v>41546</v>
      </c>
      <c r="C14" s="10" t="s">
        <v>112</v>
      </c>
      <c r="D14" s="10" t="s">
        <v>113</v>
      </c>
      <c r="E14" s="10" t="s">
        <v>184</v>
      </c>
      <c r="F14" s="185">
        <v>3</v>
      </c>
      <c r="G14" s="144">
        <v>7</v>
      </c>
      <c r="H14" s="144">
        <v>28</v>
      </c>
      <c r="I14" s="181"/>
      <c r="J14" s="272" t="s">
        <v>306</v>
      </c>
    </row>
    <row r="15" spans="1:10" x14ac:dyDescent="0.25">
      <c r="A15" s="6">
        <v>13</v>
      </c>
      <c r="B15" s="92">
        <v>41574</v>
      </c>
      <c r="C15" s="6" t="s">
        <v>85</v>
      </c>
      <c r="D15" s="6" t="s">
        <v>86</v>
      </c>
      <c r="E15" s="6" t="s">
        <v>184</v>
      </c>
      <c r="F15" s="167">
        <v>3</v>
      </c>
      <c r="G15" s="354">
        <v>4</v>
      </c>
      <c r="H15" s="354">
        <v>9</v>
      </c>
      <c r="I15" s="148"/>
      <c r="J15" s="30" t="s">
        <v>306</v>
      </c>
    </row>
    <row r="16" spans="1:10" x14ac:dyDescent="0.25">
      <c r="A16" s="10">
        <v>14</v>
      </c>
      <c r="B16" s="178">
        <v>41595</v>
      </c>
      <c r="C16" s="10" t="s">
        <v>124</v>
      </c>
      <c r="D16" s="10" t="s">
        <v>123</v>
      </c>
      <c r="E16" s="10" t="s">
        <v>183</v>
      </c>
      <c r="F16" s="185">
        <v>3</v>
      </c>
      <c r="G16" s="144">
        <v>14</v>
      </c>
      <c r="H16" s="144">
        <v>27</v>
      </c>
      <c r="I16" s="181"/>
      <c r="J16" s="53"/>
    </row>
    <row r="17" spans="1:11" s="6" customFormat="1" ht="15.75" thickBot="1" x14ac:dyDescent="0.3">
      <c r="A17" s="151">
        <v>15</v>
      </c>
      <c r="B17" s="150">
        <v>41616</v>
      </c>
      <c r="C17" s="151" t="s">
        <v>115</v>
      </c>
      <c r="D17" s="151" t="s">
        <v>116</v>
      </c>
      <c r="E17" s="151" t="s">
        <v>185</v>
      </c>
      <c r="F17" s="183">
        <v>3</v>
      </c>
      <c r="G17" s="142">
        <v>3</v>
      </c>
      <c r="H17" s="142">
        <v>34</v>
      </c>
      <c r="I17" s="165"/>
      <c r="J17" s="141" t="s">
        <v>306</v>
      </c>
    </row>
    <row r="18" spans="1:11" x14ac:dyDescent="0.25">
      <c r="A18" s="10">
        <v>16</v>
      </c>
      <c r="B18" s="178">
        <v>41658</v>
      </c>
      <c r="C18" s="10" t="s">
        <v>63</v>
      </c>
      <c r="D18" s="10" t="s">
        <v>64</v>
      </c>
      <c r="E18" s="10" t="s">
        <v>183</v>
      </c>
      <c r="F18" s="185">
        <v>3</v>
      </c>
      <c r="G18" s="144">
        <v>10</v>
      </c>
      <c r="H18" s="144">
        <v>40</v>
      </c>
      <c r="I18" s="181"/>
      <c r="J18" s="272" t="s">
        <v>306</v>
      </c>
    </row>
    <row r="19" spans="1:11" x14ac:dyDescent="0.25">
      <c r="A19" s="10">
        <v>17</v>
      </c>
      <c r="B19" s="178">
        <v>41692</v>
      </c>
      <c r="C19" s="10" t="s">
        <v>68</v>
      </c>
      <c r="D19" s="10" t="s">
        <v>69</v>
      </c>
      <c r="E19" s="10" t="s">
        <v>184</v>
      </c>
      <c r="F19" s="272">
        <v>3</v>
      </c>
      <c r="G19" s="144">
        <v>10</v>
      </c>
      <c r="H19" s="144">
        <v>5</v>
      </c>
      <c r="I19" s="181"/>
      <c r="J19" s="272" t="s">
        <v>306</v>
      </c>
    </row>
    <row r="20" spans="1:11" x14ac:dyDescent="0.25">
      <c r="A20" s="10">
        <v>18</v>
      </c>
      <c r="B20" s="178">
        <v>41699</v>
      </c>
      <c r="C20" s="10" t="s">
        <v>160</v>
      </c>
      <c r="D20" s="10" t="s">
        <v>161</v>
      </c>
      <c r="E20" s="10" t="s">
        <v>183</v>
      </c>
      <c r="F20" s="185">
        <v>3</v>
      </c>
      <c r="G20" s="144">
        <v>14</v>
      </c>
      <c r="H20" s="144">
        <v>1</v>
      </c>
      <c r="I20" s="181"/>
      <c r="J20" s="272"/>
    </row>
    <row r="21" spans="1:11" x14ac:dyDescent="0.25">
      <c r="A21" s="10">
        <v>19</v>
      </c>
      <c r="B21" s="178">
        <v>41721</v>
      </c>
      <c r="C21" s="10" t="s">
        <v>88</v>
      </c>
      <c r="D21" s="10" t="s">
        <v>89</v>
      </c>
      <c r="E21" s="10" t="s">
        <v>183</v>
      </c>
      <c r="F21" s="185">
        <v>3</v>
      </c>
      <c r="G21" s="144">
        <v>19</v>
      </c>
      <c r="H21" s="144">
        <v>42</v>
      </c>
      <c r="I21" s="181"/>
      <c r="J21" s="272"/>
    </row>
    <row r="22" spans="1:11" x14ac:dyDescent="0.25">
      <c r="A22" s="6">
        <v>20</v>
      </c>
      <c r="B22" s="92">
        <v>41735</v>
      </c>
      <c r="C22" s="6" t="s">
        <v>164</v>
      </c>
      <c r="D22" s="6" t="s">
        <v>165</v>
      </c>
      <c r="E22" s="6" t="s">
        <v>183</v>
      </c>
      <c r="F22" s="167">
        <v>3</v>
      </c>
      <c r="G22" s="356">
        <v>15</v>
      </c>
      <c r="H22" s="356">
        <v>39</v>
      </c>
      <c r="I22" s="95"/>
      <c r="J22" s="355"/>
    </row>
    <row r="23" spans="1:11" s="112" customFormat="1" x14ac:dyDescent="0.25">
      <c r="A23" s="10">
        <v>21</v>
      </c>
      <c r="B23" s="178">
        <v>41756</v>
      </c>
      <c r="C23" s="10" t="s">
        <v>167</v>
      </c>
      <c r="D23" s="10" t="s">
        <v>168</v>
      </c>
      <c r="E23" s="10" t="s">
        <v>184</v>
      </c>
      <c r="F23" s="185">
        <v>3</v>
      </c>
      <c r="G23" s="144">
        <v>0</v>
      </c>
      <c r="H23" s="144">
        <v>23</v>
      </c>
      <c r="I23" s="181"/>
      <c r="J23" s="272" t="s">
        <v>306</v>
      </c>
    </row>
    <row r="24" spans="1:11" s="286" customFormat="1" x14ac:dyDescent="0.25">
      <c r="A24" s="274">
        <v>22</v>
      </c>
      <c r="B24" s="273">
        <v>41777</v>
      </c>
      <c r="C24" s="274" t="s">
        <v>73</v>
      </c>
      <c r="D24" s="274" t="s">
        <v>74</v>
      </c>
      <c r="E24" s="274" t="s">
        <v>183</v>
      </c>
      <c r="F24" s="292">
        <v>2</v>
      </c>
      <c r="G24" s="293">
        <v>59</v>
      </c>
      <c r="H24" s="293">
        <v>17</v>
      </c>
      <c r="I24" s="294"/>
      <c r="J24" s="295" t="s">
        <v>306</v>
      </c>
      <c r="K24" s="106"/>
    </row>
    <row r="25" spans="1:11" x14ac:dyDescent="0.25">
      <c r="A25" s="6">
        <v>23</v>
      </c>
      <c r="B25" s="92">
        <v>41790</v>
      </c>
      <c r="C25" s="6" t="s">
        <v>170</v>
      </c>
      <c r="D25" s="6" t="s">
        <v>171</v>
      </c>
      <c r="E25" s="6" t="s">
        <v>183</v>
      </c>
      <c r="F25" s="167">
        <v>3</v>
      </c>
      <c r="G25" s="377">
        <v>4</v>
      </c>
      <c r="H25" s="377">
        <v>51</v>
      </c>
      <c r="I25" s="95"/>
      <c r="J25" s="376" t="s">
        <v>306</v>
      </c>
    </row>
    <row r="26" spans="1:11" x14ac:dyDescent="0.25">
      <c r="A26" s="10">
        <v>24</v>
      </c>
      <c r="B26" s="178">
        <v>41826</v>
      </c>
      <c r="C26" s="10" t="s">
        <v>180</v>
      </c>
      <c r="D26" s="10" t="s">
        <v>181</v>
      </c>
      <c r="E26" s="10" t="s">
        <v>184</v>
      </c>
      <c r="F26" s="185">
        <v>3</v>
      </c>
      <c r="G26" s="144">
        <v>18</v>
      </c>
      <c r="H26" s="144">
        <v>58</v>
      </c>
      <c r="I26" s="181"/>
      <c r="J26" s="272"/>
    </row>
    <row r="27" spans="1:11" x14ac:dyDescent="0.25">
      <c r="A27" s="10">
        <v>25</v>
      </c>
      <c r="B27" s="178">
        <v>41836</v>
      </c>
      <c r="C27" s="10" t="s">
        <v>176</v>
      </c>
      <c r="D27" s="10" t="s">
        <v>177</v>
      </c>
      <c r="E27" s="10" t="s">
        <v>183</v>
      </c>
      <c r="F27" s="185">
        <v>3</v>
      </c>
      <c r="G27" s="144">
        <v>27</v>
      </c>
      <c r="H27" s="144">
        <v>17</v>
      </c>
      <c r="I27" s="181"/>
      <c r="J27" s="272"/>
    </row>
    <row r="28" spans="1:11" x14ac:dyDescent="0.25">
      <c r="A28" s="10">
        <v>26</v>
      </c>
      <c r="B28" s="178">
        <v>41839</v>
      </c>
      <c r="C28" s="10" t="s">
        <v>178</v>
      </c>
      <c r="D28" s="10" t="s">
        <v>187</v>
      </c>
      <c r="E28" s="10" t="s">
        <v>186</v>
      </c>
      <c r="F28" s="185">
        <v>3</v>
      </c>
      <c r="G28" s="144">
        <v>39</v>
      </c>
      <c r="H28" s="144">
        <v>44</v>
      </c>
      <c r="I28" s="181"/>
      <c r="J28" s="272" t="s">
        <v>306</v>
      </c>
    </row>
    <row r="29" spans="1:11" x14ac:dyDescent="0.25">
      <c r="A29" s="6">
        <v>27</v>
      </c>
      <c r="B29" s="92">
        <v>41867</v>
      </c>
      <c r="C29" s="6" t="s">
        <v>188</v>
      </c>
      <c r="D29" s="6" t="s">
        <v>190</v>
      </c>
      <c r="E29" s="6" t="s">
        <v>183</v>
      </c>
      <c r="F29" s="167">
        <v>3</v>
      </c>
      <c r="G29" s="377">
        <v>12</v>
      </c>
      <c r="H29" s="377">
        <v>33</v>
      </c>
      <c r="I29" s="95"/>
      <c r="J29" s="376" t="s">
        <v>306</v>
      </c>
    </row>
    <row r="30" spans="1:11" x14ac:dyDescent="0.25">
      <c r="A30" s="10">
        <v>28</v>
      </c>
      <c r="B30" s="178">
        <v>41881</v>
      </c>
      <c r="C30" s="10" t="s">
        <v>117</v>
      </c>
      <c r="D30" s="10" t="s">
        <v>118</v>
      </c>
      <c r="E30" s="10" t="s">
        <v>183</v>
      </c>
      <c r="F30" s="185">
        <v>3</v>
      </c>
      <c r="G30" s="144">
        <v>8</v>
      </c>
      <c r="H30" s="144">
        <v>40</v>
      </c>
      <c r="I30" s="181"/>
      <c r="J30" s="272" t="s">
        <v>306</v>
      </c>
    </row>
    <row r="31" spans="1:11" x14ac:dyDescent="0.25">
      <c r="A31" s="6">
        <v>29</v>
      </c>
      <c r="B31" s="92">
        <v>41896</v>
      </c>
      <c r="C31" s="6" t="s">
        <v>189</v>
      </c>
      <c r="D31" s="6" t="s">
        <v>191</v>
      </c>
      <c r="E31" s="6" t="s">
        <v>184</v>
      </c>
      <c r="F31" s="167">
        <v>3</v>
      </c>
      <c r="G31" s="356">
        <v>3</v>
      </c>
      <c r="H31" s="356">
        <v>22</v>
      </c>
      <c r="I31" s="95"/>
      <c r="J31" s="355" t="s">
        <v>306</v>
      </c>
    </row>
    <row r="32" spans="1:11" x14ac:dyDescent="0.25">
      <c r="A32" s="10">
        <v>30</v>
      </c>
      <c r="B32" s="178">
        <v>41910</v>
      </c>
      <c r="C32" s="10" t="s">
        <v>122</v>
      </c>
      <c r="D32" s="10" t="s">
        <v>123</v>
      </c>
      <c r="E32" s="10" t="s">
        <v>183</v>
      </c>
      <c r="F32" s="185">
        <v>3</v>
      </c>
      <c r="G32" s="144">
        <v>14</v>
      </c>
      <c r="H32" s="144">
        <v>36</v>
      </c>
      <c r="I32" s="181"/>
      <c r="J32" s="272" t="s">
        <v>306</v>
      </c>
    </row>
    <row r="33" spans="1:11" x14ac:dyDescent="0.25">
      <c r="A33" s="10">
        <v>31</v>
      </c>
      <c r="B33" s="178">
        <v>41924</v>
      </c>
      <c r="C33" s="10" t="s">
        <v>124</v>
      </c>
      <c r="D33" s="10" t="s">
        <v>123</v>
      </c>
      <c r="E33" s="10" t="s">
        <v>183</v>
      </c>
      <c r="F33" s="185">
        <v>3</v>
      </c>
      <c r="G33" s="144">
        <v>28</v>
      </c>
      <c r="H33" s="144">
        <v>14</v>
      </c>
      <c r="I33" s="181"/>
      <c r="J33" s="272"/>
    </row>
    <row r="34" spans="1:11" x14ac:dyDescent="0.25">
      <c r="A34" s="6">
        <v>32</v>
      </c>
      <c r="B34" s="92">
        <v>41938</v>
      </c>
      <c r="C34" s="6" t="s">
        <v>85</v>
      </c>
      <c r="D34" s="6" t="s">
        <v>86</v>
      </c>
      <c r="E34" s="6" t="s">
        <v>184</v>
      </c>
      <c r="F34" s="167">
        <v>3</v>
      </c>
      <c r="G34" s="360">
        <v>5</v>
      </c>
      <c r="H34" s="360">
        <v>49</v>
      </c>
      <c r="I34" s="95"/>
      <c r="J34" s="359" t="s">
        <v>306</v>
      </c>
      <c r="K34" s="6"/>
    </row>
    <row r="35" spans="1:11" x14ac:dyDescent="0.25">
      <c r="A35" s="10">
        <v>33</v>
      </c>
      <c r="B35" s="178">
        <v>41950</v>
      </c>
      <c r="C35" s="10" t="s">
        <v>88</v>
      </c>
      <c r="D35" s="10" t="s">
        <v>89</v>
      </c>
      <c r="E35" s="10" t="s">
        <v>183</v>
      </c>
      <c r="F35" s="185">
        <v>3</v>
      </c>
      <c r="G35" s="144">
        <v>29</v>
      </c>
      <c r="H35" s="144">
        <v>17</v>
      </c>
      <c r="I35" s="186"/>
      <c r="J35" s="53"/>
    </row>
    <row r="36" spans="1:11" ht="15.75" thickBot="1" x14ac:dyDescent="0.3">
      <c r="A36" s="151">
        <v>34</v>
      </c>
      <c r="B36" s="150">
        <v>41996</v>
      </c>
      <c r="C36" s="151" t="s">
        <v>124</v>
      </c>
      <c r="D36" s="151" t="s">
        <v>123</v>
      </c>
      <c r="E36" s="151" t="s">
        <v>183</v>
      </c>
      <c r="F36" s="183">
        <v>3</v>
      </c>
      <c r="G36" s="142">
        <v>13</v>
      </c>
      <c r="H36" s="142">
        <v>3</v>
      </c>
      <c r="I36" s="184"/>
      <c r="J36" s="276"/>
    </row>
    <row r="37" spans="1:11" x14ac:dyDescent="0.25">
      <c r="A37" s="10">
        <v>35</v>
      </c>
      <c r="B37" s="178">
        <v>42022</v>
      </c>
      <c r="C37" s="10" t="s">
        <v>63</v>
      </c>
      <c r="D37" s="10" t="s">
        <v>64</v>
      </c>
      <c r="E37" s="10" t="s">
        <v>183</v>
      </c>
      <c r="F37" s="185">
        <v>3</v>
      </c>
      <c r="G37" s="144">
        <v>9</v>
      </c>
      <c r="H37" s="144">
        <v>28</v>
      </c>
      <c r="I37" s="186"/>
      <c r="J37" s="53" t="s">
        <v>306</v>
      </c>
    </row>
    <row r="38" spans="1:11" x14ac:dyDescent="0.25">
      <c r="A38" s="10">
        <v>36</v>
      </c>
      <c r="B38" s="178">
        <v>42050</v>
      </c>
      <c r="C38" s="10" t="s">
        <v>196</v>
      </c>
      <c r="D38" s="10" t="s">
        <v>197</v>
      </c>
      <c r="E38" s="10" t="s">
        <v>183</v>
      </c>
      <c r="F38" s="185">
        <v>3</v>
      </c>
      <c r="G38" s="144">
        <v>48</v>
      </c>
      <c r="H38" s="144">
        <v>3</v>
      </c>
      <c r="I38" s="186"/>
      <c r="J38" s="53" t="s">
        <v>306</v>
      </c>
    </row>
    <row r="39" spans="1:11" x14ac:dyDescent="0.25">
      <c r="A39" s="10">
        <v>37</v>
      </c>
      <c r="B39" s="178">
        <v>42105</v>
      </c>
      <c r="C39" s="10" t="s">
        <v>198</v>
      </c>
      <c r="D39" s="10" t="s">
        <v>199</v>
      </c>
      <c r="E39" s="10" t="s">
        <v>183</v>
      </c>
      <c r="F39" s="185">
        <v>3</v>
      </c>
      <c r="G39" s="144">
        <v>17</v>
      </c>
      <c r="H39" s="144">
        <v>13</v>
      </c>
      <c r="I39" s="186"/>
      <c r="J39" s="53" t="s">
        <v>306</v>
      </c>
    </row>
    <row r="40" spans="1:11" x14ac:dyDescent="0.25">
      <c r="A40" s="10">
        <v>38</v>
      </c>
      <c r="B40" s="178">
        <v>42113</v>
      </c>
      <c r="C40" s="10" t="s">
        <v>167</v>
      </c>
      <c r="D40" s="10" t="s">
        <v>168</v>
      </c>
      <c r="E40" s="10" t="s">
        <v>184</v>
      </c>
      <c r="F40" s="185">
        <v>3</v>
      </c>
      <c r="G40" s="144">
        <v>14</v>
      </c>
      <c r="H40" s="144">
        <v>26</v>
      </c>
      <c r="I40" s="186"/>
      <c r="J40" s="53" t="s">
        <v>306</v>
      </c>
    </row>
    <row r="41" spans="1:11" x14ac:dyDescent="0.25">
      <c r="A41" s="10">
        <v>39</v>
      </c>
      <c r="B41" s="178">
        <v>42120</v>
      </c>
      <c r="C41" s="10" t="s">
        <v>70</v>
      </c>
      <c r="D41" s="10" t="s">
        <v>71</v>
      </c>
      <c r="E41" s="10" t="s">
        <v>184</v>
      </c>
      <c r="F41" s="185">
        <v>3</v>
      </c>
      <c r="G41" s="144">
        <v>2</v>
      </c>
      <c r="H41" s="144">
        <v>44</v>
      </c>
      <c r="I41" s="186"/>
      <c r="J41" s="53" t="s">
        <v>306</v>
      </c>
    </row>
    <row r="42" spans="1:11" x14ac:dyDescent="0.25">
      <c r="A42" s="10">
        <v>40</v>
      </c>
      <c r="B42" s="178">
        <v>42148</v>
      </c>
      <c r="C42" s="10" t="s">
        <v>73</v>
      </c>
      <c r="D42" s="10" t="s">
        <v>74</v>
      </c>
      <c r="E42" s="10" t="s">
        <v>183</v>
      </c>
      <c r="F42" s="185">
        <v>3</v>
      </c>
      <c r="G42" s="144">
        <v>19</v>
      </c>
      <c r="H42" s="144">
        <v>31</v>
      </c>
      <c r="I42" s="186"/>
      <c r="J42" s="53" t="s">
        <v>306</v>
      </c>
    </row>
    <row r="43" spans="1:11" x14ac:dyDescent="0.25">
      <c r="A43" s="10">
        <v>41</v>
      </c>
      <c r="B43" s="178">
        <v>42153</v>
      </c>
      <c r="C43" s="10" t="s">
        <v>124</v>
      </c>
      <c r="D43" s="10" t="s">
        <v>123</v>
      </c>
      <c r="E43" s="10" t="s">
        <v>183</v>
      </c>
      <c r="F43" s="185">
        <v>3</v>
      </c>
      <c r="G43" s="144">
        <v>40</v>
      </c>
      <c r="H43" s="144">
        <v>47</v>
      </c>
      <c r="I43" s="186"/>
      <c r="J43" s="53"/>
    </row>
    <row r="44" spans="1:11" x14ac:dyDescent="0.25">
      <c r="A44" s="10">
        <v>42</v>
      </c>
      <c r="B44" s="178">
        <v>42153</v>
      </c>
      <c r="C44" s="10" t="s">
        <v>124</v>
      </c>
      <c r="D44" s="10" t="s">
        <v>123</v>
      </c>
      <c r="E44" s="10" t="s">
        <v>183</v>
      </c>
      <c r="F44" s="185">
        <v>3</v>
      </c>
      <c r="G44" s="144">
        <v>44</v>
      </c>
      <c r="H44" s="144">
        <v>19</v>
      </c>
      <c r="I44" s="186"/>
      <c r="J44" s="53"/>
    </row>
    <row r="45" spans="1:11" x14ac:dyDescent="0.25">
      <c r="A45" s="10">
        <v>43</v>
      </c>
      <c r="B45" s="178">
        <v>42160</v>
      </c>
      <c r="C45" s="10" t="s">
        <v>211</v>
      </c>
      <c r="D45" s="10" t="s">
        <v>212</v>
      </c>
      <c r="E45" s="10" t="s">
        <v>183</v>
      </c>
      <c r="F45" s="185">
        <v>3</v>
      </c>
      <c r="G45" s="144">
        <v>25</v>
      </c>
      <c r="H45" s="144">
        <v>7</v>
      </c>
      <c r="I45" s="186"/>
      <c r="J45" s="53" t="s">
        <v>306</v>
      </c>
    </row>
    <row r="46" spans="1:11" x14ac:dyDescent="0.25">
      <c r="A46" s="10">
        <v>44</v>
      </c>
      <c r="B46" s="178">
        <v>42169</v>
      </c>
      <c r="C46" s="10" t="s">
        <v>216</v>
      </c>
      <c r="D46" s="10" t="s">
        <v>217</v>
      </c>
      <c r="E46" s="10" t="s">
        <v>218</v>
      </c>
      <c r="F46" s="185">
        <v>3</v>
      </c>
      <c r="G46" s="144">
        <v>6</v>
      </c>
      <c r="H46" s="144">
        <v>18</v>
      </c>
      <c r="I46" s="186"/>
      <c r="J46" s="53" t="s">
        <v>306</v>
      </c>
    </row>
    <row r="47" spans="1:11" x14ac:dyDescent="0.25">
      <c r="A47" s="10">
        <v>45</v>
      </c>
      <c r="B47" s="178">
        <v>42175</v>
      </c>
      <c r="C47" s="10" t="s">
        <v>174</v>
      </c>
      <c r="D47" s="10" t="s">
        <v>175</v>
      </c>
      <c r="E47" s="10" t="s">
        <v>183</v>
      </c>
      <c r="F47" s="185">
        <v>3</v>
      </c>
      <c r="G47" s="144">
        <v>15</v>
      </c>
      <c r="H47" s="144">
        <v>36</v>
      </c>
      <c r="I47" s="186"/>
      <c r="J47" s="53" t="s">
        <v>306</v>
      </c>
    </row>
    <row r="48" spans="1:11" x14ac:dyDescent="0.25">
      <c r="A48" s="10">
        <v>46</v>
      </c>
      <c r="B48" s="178">
        <v>42190</v>
      </c>
      <c r="C48" s="10" t="s">
        <v>180</v>
      </c>
      <c r="D48" s="10" t="s">
        <v>181</v>
      </c>
      <c r="E48" s="10" t="s">
        <v>184</v>
      </c>
      <c r="F48" s="185">
        <v>3</v>
      </c>
      <c r="G48" s="144">
        <v>30</v>
      </c>
      <c r="H48" s="144">
        <v>15</v>
      </c>
      <c r="I48" s="186"/>
      <c r="J48" s="53"/>
    </row>
    <row r="49" spans="1:14" x14ac:dyDescent="0.25">
      <c r="A49" s="10">
        <v>47</v>
      </c>
      <c r="B49" s="178">
        <v>42197</v>
      </c>
      <c r="C49" s="10" t="s">
        <v>124</v>
      </c>
      <c r="D49" s="10" t="s">
        <v>123</v>
      </c>
      <c r="E49" s="10" t="s">
        <v>183</v>
      </c>
      <c r="F49" s="185">
        <v>3</v>
      </c>
      <c r="G49" s="144">
        <v>24</v>
      </c>
      <c r="H49" s="144">
        <v>39</v>
      </c>
      <c r="I49" s="186"/>
      <c r="J49" s="53"/>
    </row>
    <row r="50" spans="1:14" x14ac:dyDescent="0.25">
      <c r="A50" s="10">
        <v>48</v>
      </c>
      <c r="B50" s="178">
        <v>42215</v>
      </c>
      <c r="C50" s="10" t="s">
        <v>222</v>
      </c>
      <c r="D50" s="10" t="s">
        <v>129</v>
      </c>
      <c r="E50" s="10" t="s">
        <v>183</v>
      </c>
      <c r="F50" s="185">
        <v>3</v>
      </c>
      <c r="G50" s="144">
        <v>22</v>
      </c>
      <c r="H50" s="144">
        <v>25</v>
      </c>
      <c r="I50" s="186"/>
      <c r="J50" s="53"/>
    </row>
    <row r="51" spans="1:14" x14ac:dyDescent="0.25">
      <c r="A51" s="10">
        <v>49</v>
      </c>
      <c r="B51" s="178">
        <v>42239</v>
      </c>
      <c r="C51" s="254" t="s">
        <v>222</v>
      </c>
      <c r="D51" s="10" t="s">
        <v>129</v>
      </c>
      <c r="E51" s="254" t="s">
        <v>183</v>
      </c>
      <c r="F51" s="185">
        <v>3</v>
      </c>
      <c r="G51" s="144">
        <v>27</v>
      </c>
      <c r="H51" s="144">
        <v>34</v>
      </c>
      <c r="I51" s="186"/>
      <c r="J51" s="53"/>
    </row>
    <row r="52" spans="1:14" x14ac:dyDescent="0.25">
      <c r="A52" s="10">
        <v>50</v>
      </c>
      <c r="B52" s="178">
        <v>42245</v>
      </c>
      <c r="C52" s="10" t="s">
        <v>117</v>
      </c>
      <c r="D52" s="10" t="s">
        <v>118</v>
      </c>
      <c r="E52" s="10" t="s">
        <v>183</v>
      </c>
      <c r="F52" s="185">
        <v>3</v>
      </c>
      <c r="G52" s="144">
        <v>7</v>
      </c>
      <c r="H52" s="144">
        <v>59</v>
      </c>
      <c r="I52" s="181"/>
      <c r="J52" s="272" t="s">
        <v>306</v>
      </c>
      <c r="K52" s="6"/>
    </row>
    <row r="53" spans="1:14" x14ac:dyDescent="0.25">
      <c r="A53" s="10">
        <v>51</v>
      </c>
      <c r="B53" s="178">
        <v>42253</v>
      </c>
      <c r="C53" s="10" t="s">
        <v>200</v>
      </c>
      <c r="D53" s="10" t="s">
        <v>201</v>
      </c>
      <c r="E53" s="10" t="s">
        <v>184</v>
      </c>
      <c r="F53" s="185">
        <v>3</v>
      </c>
      <c r="G53" s="144">
        <v>14</v>
      </c>
      <c r="H53" s="144">
        <v>35</v>
      </c>
      <c r="I53" s="186"/>
      <c r="J53" s="53" t="s">
        <v>306</v>
      </c>
    </row>
    <row r="54" spans="1:14" x14ac:dyDescent="0.25">
      <c r="A54" s="10">
        <v>52</v>
      </c>
      <c r="B54" s="178">
        <v>42281</v>
      </c>
      <c r="C54" s="10" t="s">
        <v>122</v>
      </c>
      <c r="D54" s="10" t="s">
        <v>123</v>
      </c>
      <c r="E54" s="10" t="s">
        <v>183</v>
      </c>
      <c r="F54" s="185">
        <v>3</v>
      </c>
      <c r="G54" s="144">
        <v>14</v>
      </c>
      <c r="H54" s="144">
        <v>36</v>
      </c>
      <c r="I54" s="186"/>
      <c r="J54" s="53" t="s">
        <v>306</v>
      </c>
    </row>
    <row r="55" spans="1:14" s="6" customFormat="1" x14ac:dyDescent="0.25">
      <c r="A55" s="6">
        <v>53</v>
      </c>
      <c r="B55" s="92">
        <v>42295</v>
      </c>
      <c r="C55" s="6" t="s">
        <v>278</v>
      </c>
      <c r="D55" s="6" t="s">
        <v>279</v>
      </c>
      <c r="E55" s="6" t="s">
        <v>184</v>
      </c>
      <c r="F55" s="167">
        <v>3</v>
      </c>
      <c r="G55" s="358">
        <v>4</v>
      </c>
      <c r="H55" s="358">
        <v>17</v>
      </c>
      <c r="I55" s="95"/>
      <c r="J55" s="357" t="s">
        <v>306</v>
      </c>
    </row>
    <row r="56" spans="1:14" s="6" customFormat="1" x14ac:dyDescent="0.25">
      <c r="A56" s="10">
        <v>54</v>
      </c>
      <c r="B56" s="178">
        <v>42323</v>
      </c>
      <c r="C56" s="10" t="s">
        <v>280</v>
      </c>
      <c r="D56" s="10" t="s">
        <v>281</v>
      </c>
      <c r="E56" s="10" t="s">
        <v>282</v>
      </c>
      <c r="F56" s="185">
        <v>3</v>
      </c>
      <c r="G56" s="144">
        <v>0</v>
      </c>
      <c r="H56" s="144">
        <v>9</v>
      </c>
      <c r="I56" s="181"/>
      <c r="J56" s="272" t="s">
        <v>306</v>
      </c>
    </row>
    <row r="57" spans="1:14" s="6" customFormat="1" ht="15.75" thickBot="1" x14ac:dyDescent="0.3">
      <c r="A57" s="151">
        <v>55</v>
      </c>
      <c r="B57" s="150">
        <v>42361</v>
      </c>
      <c r="C57" s="151" t="s">
        <v>124</v>
      </c>
      <c r="D57" s="151" t="s">
        <v>123</v>
      </c>
      <c r="E57" s="151" t="s">
        <v>183</v>
      </c>
      <c r="F57" s="183">
        <v>3</v>
      </c>
      <c r="G57" s="142">
        <v>29</v>
      </c>
      <c r="H57" s="142">
        <v>31</v>
      </c>
      <c r="I57" s="165"/>
      <c r="J57" s="141"/>
      <c r="L57" s="6" t="s">
        <v>183</v>
      </c>
      <c r="M57" s="6">
        <f t="shared" ref="M57:M67" si="0">COUNTIFS($E$3:$E$111,L57)</f>
        <v>71</v>
      </c>
      <c r="N57"/>
    </row>
    <row r="58" spans="1:14" s="6" customFormat="1" x14ac:dyDescent="0.25">
      <c r="A58" s="10">
        <v>56</v>
      </c>
      <c r="B58" s="178">
        <v>42393</v>
      </c>
      <c r="C58" s="10" t="s">
        <v>63</v>
      </c>
      <c r="D58" s="10" t="s">
        <v>64</v>
      </c>
      <c r="E58" s="10" t="s">
        <v>183</v>
      </c>
      <c r="F58" s="185">
        <v>3</v>
      </c>
      <c r="G58" s="144">
        <v>19</v>
      </c>
      <c r="H58" s="144">
        <v>11</v>
      </c>
      <c r="I58" s="181"/>
      <c r="J58" s="272" t="s">
        <v>306</v>
      </c>
      <c r="L58" s="6" t="s">
        <v>184</v>
      </c>
      <c r="M58" s="6">
        <f t="shared" si="0"/>
        <v>22</v>
      </c>
      <c r="N58"/>
    </row>
    <row r="59" spans="1:14" s="6" customFormat="1" x14ac:dyDescent="0.25">
      <c r="A59" s="10">
        <v>57</v>
      </c>
      <c r="B59" s="178">
        <v>42448</v>
      </c>
      <c r="C59" s="10" t="s">
        <v>286</v>
      </c>
      <c r="D59" s="10" t="s">
        <v>199</v>
      </c>
      <c r="E59" s="10" t="s">
        <v>183</v>
      </c>
      <c r="F59" s="185">
        <v>3</v>
      </c>
      <c r="G59" s="144">
        <v>27</v>
      </c>
      <c r="H59" s="144">
        <v>48</v>
      </c>
      <c r="I59" s="181"/>
      <c r="J59" s="272"/>
      <c r="L59" s="6" t="s">
        <v>185</v>
      </c>
      <c r="M59" s="6">
        <f t="shared" si="0"/>
        <v>2</v>
      </c>
      <c r="N59"/>
    </row>
    <row r="60" spans="1:14" s="6" customFormat="1" x14ac:dyDescent="0.25">
      <c r="A60" s="9">
        <v>58</v>
      </c>
      <c r="B60" s="169">
        <v>42455</v>
      </c>
      <c r="C60" s="9" t="s">
        <v>295</v>
      </c>
      <c r="D60" s="9" t="s">
        <v>296</v>
      </c>
      <c r="E60" s="9" t="s">
        <v>183</v>
      </c>
      <c r="F60" s="271">
        <v>4</v>
      </c>
      <c r="G60" s="146">
        <v>22</v>
      </c>
      <c r="H60" s="146">
        <v>51</v>
      </c>
      <c r="I60" s="103"/>
      <c r="J60" s="303" t="s">
        <v>306</v>
      </c>
      <c r="L60" s="6" t="s">
        <v>186</v>
      </c>
      <c r="M60" s="6">
        <f t="shared" si="0"/>
        <v>2</v>
      </c>
      <c r="N60"/>
    </row>
    <row r="61" spans="1:14" s="6" customFormat="1" x14ac:dyDescent="0.25">
      <c r="A61" s="10">
        <v>59</v>
      </c>
      <c r="B61" s="178">
        <v>42470</v>
      </c>
      <c r="C61" s="10" t="s">
        <v>167</v>
      </c>
      <c r="D61" s="10" t="s">
        <v>168</v>
      </c>
      <c r="E61" s="10" t="s">
        <v>183</v>
      </c>
      <c r="F61" s="185">
        <v>3</v>
      </c>
      <c r="G61" s="144">
        <v>14</v>
      </c>
      <c r="H61" s="144">
        <v>48</v>
      </c>
      <c r="I61" s="181"/>
      <c r="J61" s="272" t="s">
        <v>306</v>
      </c>
      <c r="L61" s="6" t="s">
        <v>218</v>
      </c>
      <c r="M61" s="6">
        <f t="shared" si="0"/>
        <v>2</v>
      </c>
      <c r="N61"/>
    </row>
    <row r="62" spans="1:14" s="6" customFormat="1" x14ac:dyDescent="0.25">
      <c r="A62" s="10">
        <v>60</v>
      </c>
      <c r="B62" s="178">
        <v>42486</v>
      </c>
      <c r="C62" s="10" t="s">
        <v>291</v>
      </c>
      <c r="D62" s="10" t="s">
        <v>292</v>
      </c>
      <c r="E62" s="10" t="s">
        <v>185</v>
      </c>
      <c r="F62" s="185">
        <v>3</v>
      </c>
      <c r="G62" s="144">
        <v>6</v>
      </c>
      <c r="H62" s="144">
        <v>25</v>
      </c>
      <c r="I62" s="181"/>
      <c r="J62" s="272" t="s">
        <v>306</v>
      </c>
      <c r="L62" s="6" t="s">
        <v>282</v>
      </c>
      <c r="M62" s="6">
        <f t="shared" si="0"/>
        <v>1</v>
      </c>
      <c r="N62"/>
    </row>
    <row r="63" spans="1:14" s="6" customFormat="1" x14ac:dyDescent="0.25">
      <c r="A63" s="6">
        <v>61</v>
      </c>
      <c r="B63" s="92">
        <v>42505</v>
      </c>
      <c r="C63" s="6" t="s">
        <v>300</v>
      </c>
      <c r="D63" s="6" t="s">
        <v>301</v>
      </c>
      <c r="E63" s="6" t="s">
        <v>184</v>
      </c>
      <c r="F63" s="167">
        <v>3</v>
      </c>
      <c r="G63" s="377">
        <v>11</v>
      </c>
      <c r="H63" s="377">
        <v>48</v>
      </c>
      <c r="I63" s="95"/>
      <c r="J63" s="376"/>
      <c r="L63" s="6" t="s">
        <v>431</v>
      </c>
      <c r="M63" s="6">
        <f t="shared" si="0"/>
        <v>1</v>
      </c>
      <c r="N63"/>
    </row>
    <row r="64" spans="1:14" s="6" customFormat="1" x14ac:dyDescent="0.25">
      <c r="A64" s="10">
        <v>62</v>
      </c>
      <c r="B64" s="178">
        <v>42512</v>
      </c>
      <c r="C64" s="10" t="s">
        <v>73</v>
      </c>
      <c r="D64" s="10" t="s">
        <v>74</v>
      </c>
      <c r="E64" s="10" t="s">
        <v>183</v>
      </c>
      <c r="F64" s="185">
        <v>3</v>
      </c>
      <c r="G64" s="144">
        <v>12</v>
      </c>
      <c r="H64" s="144">
        <v>59</v>
      </c>
      <c r="I64" s="181"/>
      <c r="J64" s="272" t="s">
        <v>306</v>
      </c>
      <c r="L64" s="6" t="s">
        <v>430</v>
      </c>
      <c r="M64" s="6">
        <f t="shared" si="0"/>
        <v>1</v>
      </c>
      <c r="N64"/>
    </row>
    <row r="65" spans="1:14" s="6" customFormat="1" x14ac:dyDescent="0.25">
      <c r="A65" s="10">
        <v>63</v>
      </c>
      <c r="B65" s="178">
        <v>42539</v>
      </c>
      <c r="C65" s="10" t="s">
        <v>174</v>
      </c>
      <c r="D65" s="10" t="s">
        <v>175</v>
      </c>
      <c r="E65" s="10" t="s">
        <v>183</v>
      </c>
      <c r="F65" s="185">
        <v>3</v>
      </c>
      <c r="G65" s="144">
        <v>9</v>
      </c>
      <c r="H65" s="144">
        <v>4</v>
      </c>
      <c r="I65" s="181"/>
      <c r="J65" s="272" t="s">
        <v>306</v>
      </c>
      <c r="L65" s="6" t="s">
        <v>452</v>
      </c>
      <c r="M65" s="6">
        <f t="shared" si="0"/>
        <v>1</v>
      </c>
      <c r="N65"/>
    </row>
    <row r="66" spans="1:14" s="6" customFormat="1" x14ac:dyDescent="0.25">
      <c r="A66" s="10">
        <v>64</v>
      </c>
      <c r="B66" s="178">
        <v>42547</v>
      </c>
      <c r="C66" s="10" t="s">
        <v>303</v>
      </c>
      <c r="D66" s="10" t="s">
        <v>302</v>
      </c>
      <c r="E66" s="10" t="s">
        <v>183</v>
      </c>
      <c r="F66" s="185">
        <v>3</v>
      </c>
      <c r="G66" s="144">
        <v>27</v>
      </c>
      <c r="H66" s="144">
        <v>0</v>
      </c>
      <c r="I66" s="181"/>
      <c r="J66" s="272" t="s">
        <v>306</v>
      </c>
      <c r="L66" s="6" t="s">
        <v>455</v>
      </c>
      <c r="M66" s="6">
        <f t="shared" si="0"/>
        <v>1</v>
      </c>
      <c r="N66"/>
    </row>
    <row r="67" spans="1:14" s="6" customFormat="1" x14ac:dyDescent="0.25">
      <c r="A67" s="10">
        <v>65</v>
      </c>
      <c r="B67" s="178">
        <v>42553</v>
      </c>
      <c r="C67" s="10" t="s">
        <v>304</v>
      </c>
      <c r="D67" s="10" t="s">
        <v>175</v>
      </c>
      <c r="E67" s="10" t="s">
        <v>183</v>
      </c>
      <c r="F67" s="185">
        <v>3</v>
      </c>
      <c r="G67" s="144">
        <v>25</v>
      </c>
      <c r="H67" s="144">
        <v>18</v>
      </c>
      <c r="I67" s="181"/>
      <c r="J67" s="272"/>
      <c r="L67" s="6" t="s">
        <v>456</v>
      </c>
      <c r="M67" s="6">
        <f t="shared" si="0"/>
        <v>0</v>
      </c>
      <c r="N67"/>
    </row>
    <row r="68" spans="1:14" s="6" customFormat="1" x14ac:dyDescent="0.25">
      <c r="A68" s="10">
        <v>66</v>
      </c>
      <c r="B68" s="178">
        <v>42560</v>
      </c>
      <c r="C68" s="10" t="s">
        <v>309</v>
      </c>
      <c r="D68" s="10" t="s">
        <v>64</v>
      </c>
      <c r="E68" s="10" t="s">
        <v>183</v>
      </c>
      <c r="F68" s="185">
        <v>3</v>
      </c>
      <c r="G68" s="144">
        <v>20</v>
      </c>
      <c r="H68" s="144">
        <v>17</v>
      </c>
      <c r="I68" s="181"/>
      <c r="J68" s="272"/>
      <c r="N68"/>
    </row>
    <row r="69" spans="1:14" s="6" customFormat="1" x14ac:dyDescent="0.25">
      <c r="A69" s="10">
        <v>67</v>
      </c>
      <c r="B69" s="178">
        <v>42568</v>
      </c>
      <c r="C69" s="10" t="s">
        <v>311</v>
      </c>
      <c r="D69" s="10" t="s">
        <v>310</v>
      </c>
      <c r="E69" s="10" t="s">
        <v>183</v>
      </c>
      <c r="F69" s="185">
        <v>3</v>
      </c>
      <c r="G69" s="144">
        <v>29</v>
      </c>
      <c r="H69" s="144">
        <v>3</v>
      </c>
      <c r="I69" s="181"/>
      <c r="J69" s="272"/>
      <c r="M69" s="6">
        <f>SUM(M57:M67)</f>
        <v>104</v>
      </c>
      <c r="N69"/>
    </row>
    <row r="70" spans="1:14" s="6" customFormat="1" x14ac:dyDescent="0.25">
      <c r="A70" s="6">
        <v>68</v>
      </c>
      <c r="B70" s="92">
        <v>42617</v>
      </c>
      <c r="C70" s="6" t="s">
        <v>189</v>
      </c>
      <c r="D70" s="6" t="s">
        <v>191</v>
      </c>
      <c r="E70" s="6" t="s">
        <v>184</v>
      </c>
      <c r="F70" s="167">
        <v>3</v>
      </c>
      <c r="G70" s="375">
        <v>11</v>
      </c>
      <c r="H70" s="375">
        <v>11</v>
      </c>
      <c r="I70" s="95"/>
      <c r="J70" s="374" t="s">
        <v>306</v>
      </c>
      <c r="N70"/>
    </row>
    <row r="71" spans="1:14" s="6" customFormat="1" x14ac:dyDescent="0.25">
      <c r="A71" s="232">
        <v>69</v>
      </c>
      <c r="B71" s="287">
        <v>42645</v>
      </c>
      <c r="C71" s="232" t="s">
        <v>346</v>
      </c>
      <c r="D71" s="232" t="s">
        <v>347</v>
      </c>
      <c r="E71" s="232" t="s">
        <v>184</v>
      </c>
      <c r="F71" s="288">
        <v>2</v>
      </c>
      <c r="G71" s="289">
        <v>58</v>
      </c>
      <c r="H71" s="289">
        <v>13</v>
      </c>
      <c r="I71" s="290"/>
      <c r="J71" s="291" t="s">
        <v>306</v>
      </c>
      <c r="N71"/>
    </row>
    <row r="72" spans="1:14" s="6" customFormat="1" x14ac:dyDescent="0.25">
      <c r="A72" s="6">
        <v>70</v>
      </c>
      <c r="B72" s="92">
        <v>42658</v>
      </c>
      <c r="C72" s="6" t="s">
        <v>124</v>
      </c>
      <c r="D72" s="6" t="s">
        <v>123</v>
      </c>
      <c r="E72" s="6" t="s">
        <v>183</v>
      </c>
      <c r="F72" s="167">
        <v>3</v>
      </c>
      <c r="G72" s="377">
        <v>16</v>
      </c>
      <c r="H72" s="377">
        <v>4</v>
      </c>
      <c r="I72" s="95"/>
      <c r="J72" s="376"/>
      <c r="L72"/>
      <c r="M72"/>
      <c r="N72"/>
    </row>
    <row r="73" spans="1:14" s="6" customFormat="1" ht="15.75" thickBot="1" x14ac:dyDescent="0.3">
      <c r="A73" s="151">
        <v>71</v>
      </c>
      <c r="B73" s="150">
        <v>42727</v>
      </c>
      <c r="C73" s="151" t="s">
        <v>124</v>
      </c>
      <c r="D73" s="151" t="s">
        <v>123</v>
      </c>
      <c r="E73" s="151" t="s">
        <v>183</v>
      </c>
      <c r="F73" s="183">
        <v>3</v>
      </c>
      <c r="G73" s="142">
        <v>18</v>
      </c>
      <c r="H73" s="142">
        <v>31</v>
      </c>
      <c r="I73" s="165"/>
      <c r="J73" s="141"/>
      <c r="L73" s="6" t="s">
        <v>305</v>
      </c>
      <c r="M73"/>
      <c r="N73"/>
    </row>
    <row r="74" spans="1:14" s="6" customFormat="1" x14ac:dyDescent="0.25">
      <c r="A74" s="10">
        <v>72</v>
      </c>
      <c r="B74" s="178">
        <v>42742</v>
      </c>
      <c r="C74" s="10" t="s">
        <v>222</v>
      </c>
      <c r="D74" s="10" t="s">
        <v>129</v>
      </c>
      <c r="E74" s="10" t="s">
        <v>183</v>
      </c>
      <c r="F74" s="185">
        <v>3</v>
      </c>
      <c r="G74" s="144">
        <v>34</v>
      </c>
      <c r="H74" s="144">
        <v>27</v>
      </c>
      <c r="I74" s="181"/>
      <c r="J74" s="272"/>
      <c r="L74" s="6" t="s">
        <v>306</v>
      </c>
      <c r="M74" s="6">
        <f>COUNTIFS($J$3:$J$111,L74)</f>
        <v>67</v>
      </c>
      <c r="N74"/>
    </row>
    <row r="75" spans="1:14" s="6" customFormat="1" x14ac:dyDescent="0.25">
      <c r="A75" s="6">
        <v>73</v>
      </c>
      <c r="B75" s="92">
        <v>42757</v>
      </c>
      <c r="C75" s="6" t="s">
        <v>63</v>
      </c>
      <c r="D75" s="6" t="s">
        <v>64</v>
      </c>
      <c r="E75" s="6" t="s">
        <v>183</v>
      </c>
      <c r="F75" s="167">
        <v>3</v>
      </c>
      <c r="G75" s="377">
        <v>8</v>
      </c>
      <c r="H75" s="377">
        <v>49</v>
      </c>
      <c r="I75" s="95"/>
      <c r="J75" s="376" t="s">
        <v>306</v>
      </c>
      <c r="L75" s="6" t="s">
        <v>354</v>
      </c>
      <c r="M75" s="56">
        <f>M69-M74</f>
        <v>37</v>
      </c>
    </row>
    <row r="76" spans="1:14" s="6" customFormat="1" x14ac:dyDescent="0.25">
      <c r="A76" s="10">
        <v>74</v>
      </c>
      <c r="B76" s="178">
        <v>42785</v>
      </c>
      <c r="C76" s="10" t="s">
        <v>359</v>
      </c>
      <c r="D76" s="10" t="s">
        <v>132</v>
      </c>
      <c r="E76" s="10" t="s">
        <v>183</v>
      </c>
      <c r="F76" s="185">
        <v>3</v>
      </c>
      <c r="G76" s="144">
        <v>34</v>
      </c>
      <c r="H76" s="144">
        <v>45</v>
      </c>
      <c r="I76" s="181"/>
      <c r="J76" s="272"/>
      <c r="M76" s="6">
        <f>SUM(M74:M75)</f>
        <v>104</v>
      </c>
    </row>
    <row r="77" spans="1:14" s="6" customFormat="1" x14ac:dyDescent="0.25">
      <c r="A77" s="6">
        <v>75</v>
      </c>
      <c r="B77" s="92">
        <v>42826</v>
      </c>
      <c r="C77" s="6" t="s">
        <v>356</v>
      </c>
      <c r="D77" s="6" t="s">
        <v>355</v>
      </c>
      <c r="E77" s="6" t="s">
        <v>218</v>
      </c>
      <c r="F77" s="167">
        <v>2</v>
      </c>
      <c r="G77" s="377">
        <v>59</v>
      </c>
      <c r="H77" s="377">
        <v>31</v>
      </c>
      <c r="I77" s="95"/>
      <c r="J77" s="376" t="s">
        <v>306</v>
      </c>
    </row>
    <row r="78" spans="1:14" s="6" customFormat="1" x14ac:dyDescent="0.25">
      <c r="A78" s="10">
        <v>76</v>
      </c>
      <c r="B78" s="178">
        <v>42834</v>
      </c>
      <c r="C78" s="10" t="s">
        <v>167</v>
      </c>
      <c r="D78" s="10" t="s">
        <v>168</v>
      </c>
      <c r="E78" s="10" t="s">
        <v>184</v>
      </c>
      <c r="F78" s="185">
        <v>3</v>
      </c>
      <c r="G78" s="144">
        <v>14</v>
      </c>
      <c r="H78" s="144">
        <v>48</v>
      </c>
      <c r="I78" s="181"/>
      <c r="J78" s="272" t="s">
        <v>306</v>
      </c>
      <c r="N78" s="136" t="s">
        <v>363</v>
      </c>
    </row>
    <row r="79" spans="1:14" s="6" customFormat="1" x14ac:dyDescent="0.25">
      <c r="A79" s="6">
        <v>77</v>
      </c>
      <c r="B79" s="92">
        <v>42876</v>
      </c>
      <c r="C79" s="6" t="s">
        <v>73</v>
      </c>
      <c r="D79" s="6" t="s">
        <v>74</v>
      </c>
      <c r="E79" s="6" t="s">
        <v>183</v>
      </c>
      <c r="F79" s="167">
        <v>3</v>
      </c>
      <c r="G79" s="377">
        <v>15</v>
      </c>
      <c r="H79" s="377">
        <v>12</v>
      </c>
      <c r="I79" s="95"/>
      <c r="J79" s="376" t="s">
        <v>306</v>
      </c>
      <c r="L79" s="6" t="s">
        <v>361</v>
      </c>
      <c r="M79" s="6">
        <v>4</v>
      </c>
      <c r="N79" s="6">
        <f>M79</f>
        <v>4</v>
      </c>
    </row>
    <row r="80" spans="1:14" s="6" customFormat="1" x14ac:dyDescent="0.25">
      <c r="A80" s="10">
        <v>78</v>
      </c>
      <c r="B80" s="178">
        <v>42890</v>
      </c>
      <c r="C80" s="10" t="s">
        <v>357</v>
      </c>
      <c r="D80" s="10" t="s">
        <v>358</v>
      </c>
      <c r="E80" s="10" t="s">
        <v>184</v>
      </c>
      <c r="F80" s="185">
        <v>3</v>
      </c>
      <c r="G80" s="144">
        <v>13</v>
      </c>
      <c r="H80" s="144">
        <v>53</v>
      </c>
      <c r="I80" s="181"/>
      <c r="J80" s="272" t="s">
        <v>306</v>
      </c>
      <c r="L80" s="6" t="s">
        <v>362</v>
      </c>
      <c r="M80" s="6">
        <v>10</v>
      </c>
      <c r="N80" s="6">
        <f t="shared" ref="N80:N88" si="1">N79+M80</f>
        <v>14</v>
      </c>
    </row>
    <row r="81" spans="1:14" s="6" customFormat="1" x14ac:dyDescent="0.25">
      <c r="A81" s="10">
        <v>79</v>
      </c>
      <c r="B81" s="178">
        <v>42943</v>
      </c>
      <c r="C81" s="10" t="s">
        <v>222</v>
      </c>
      <c r="D81" s="10" t="s">
        <v>129</v>
      </c>
      <c r="E81" s="10" t="s">
        <v>183</v>
      </c>
      <c r="F81" s="185">
        <v>3</v>
      </c>
      <c r="G81" s="144">
        <v>38</v>
      </c>
      <c r="H81" s="144">
        <v>2</v>
      </c>
      <c r="I81" s="181"/>
      <c r="J81" s="272"/>
      <c r="L81" s="6" t="s">
        <v>364</v>
      </c>
      <c r="M81" s="6">
        <v>12</v>
      </c>
      <c r="N81" s="6">
        <f t="shared" si="1"/>
        <v>26</v>
      </c>
    </row>
    <row r="82" spans="1:14" s="6" customFormat="1" x14ac:dyDescent="0.25">
      <c r="A82" s="10">
        <v>80</v>
      </c>
      <c r="B82" s="178">
        <v>43001</v>
      </c>
      <c r="C82" s="10" t="s">
        <v>404</v>
      </c>
      <c r="D82" s="10" t="s">
        <v>405</v>
      </c>
      <c r="E82" s="10" t="s">
        <v>183</v>
      </c>
      <c r="F82" s="185">
        <v>3</v>
      </c>
      <c r="G82" s="144">
        <v>55</v>
      </c>
      <c r="H82" s="144">
        <v>5</v>
      </c>
      <c r="I82" s="181"/>
      <c r="J82" s="272"/>
      <c r="L82" s="6" t="s">
        <v>365</v>
      </c>
      <c r="M82" s="6">
        <v>23</v>
      </c>
      <c r="N82" s="6">
        <f t="shared" si="1"/>
        <v>49</v>
      </c>
    </row>
    <row r="83" spans="1:14" s="6" customFormat="1" x14ac:dyDescent="0.25">
      <c r="A83" s="10">
        <v>81</v>
      </c>
      <c r="B83" s="178">
        <v>43009</v>
      </c>
      <c r="C83" s="10" t="s">
        <v>122</v>
      </c>
      <c r="D83" s="10" t="s">
        <v>123</v>
      </c>
      <c r="E83" s="10" t="s">
        <v>183</v>
      </c>
      <c r="F83" s="185">
        <v>3</v>
      </c>
      <c r="G83" s="144">
        <v>21</v>
      </c>
      <c r="H83" s="144">
        <v>44</v>
      </c>
      <c r="I83" s="181"/>
      <c r="J83" s="272" t="s">
        <v>306</v>
      </c>
      <c r="L83" s="6" t="s">
        <v>366</v>
      </c>
      <c r="M83" s="6">
        <v>15</v>
      </c>
      <c r="N83" s="6">
        <f t="shared" si="1"/>
        <v>64</v>
      </c>
    </row>
    <row r="84" spans="1:14" s="6" customFormat="1" x14ac:dyDescent="0.25">
      <c r="A84" s="6">
        <v>82</v>
      </c>
      <c r="B84" s="92">
        <v>43023</v>
      </c>
      <c r="C84" s="6" t="s">
        <v>406</v>
      </c>
      <c r="D84" s="6" t="s">
        <v>407</v>
      </c>
      <c r="E84" s="6" t="s">
        <v>186</v>
      </c>
      <c r="F84" s="167">
        <v>3</v>
      </c>
      <c r="G84" s="377">
        <v>15</v>
      </c>
      <c r="H84" s="377">
        <v>14</v>
      </c>
      <c r="I84" s="95"/>
      <c r="J84" s="376" t="s">
        <v>306</v>
      </c>
      <c r="L84" s="6" t="s">
        <v>367</v>
      </c>
      <c r="M84" s="6">
        <v>8</v>
      </c>
      <c r="N84" s="6">
        <f t="shared" si="1"/>
        <v>72</v>
      </c>
    </row>
    <row r="85" spans="1:14" s="6" customFormat="1" x14ac:dyDescent="0.25">
      <c r="A85" s="10">
        <v>83</v>
      </c>
      <c r="B85" s="178">
        <v>43043</v>
      </c>
      <c r="C85" s="10" t="s">
        <v>409</v>
      </c>
      <c r="D85" s="10" t="s">
        <v>414</v>
      </c>
      <c r="E85" s="10" t="s">
        <v>183</v>
      </c>
      <c r="F85" s="185">
        <v>3</v>
      </c>
      <c r="G85" s="144">
        <v>28</v>
      </c>
      <c r="H85" s="144">
        <v>34</v>
      </c>
      <c r="I85" s="181"/>
      <c r="J85" s="272"/>
      <c r="L85" s="6" t="s">
        <v>368</v>
      </c>
      <c r="M85" s="6">
        <v>14</v>
      </c>
      <c r="N85" s="6">
        <f t="shared" si="1"/>
        <v>86</v>
      </c>
    </row>
    <row r="86" spans="1:14" s="6" customFormat="1" x14ac:dyDescent="0.25">
      <c r="A86" s="10">
        <v>84</v>
      </c>
      <c r="B86" s="178">
        <v>43088</v>
      </c>
      <c r="C86" s="10" t="s">
        <v>423</v>
      </c>
      <c r="D86" s="10" t="s">
        <v>424</v>
      </c>
      <c r="E86" s="10" t="s">
        <v>183</v>
      </c>
      <c r="F86" s="185">
        <v>3</v>
      </c>
      <c r="G86" s="144">
        <v>25</v>
      </c>
      <c r="H86" s="144">
        <v>19</v>
      </c>
      <c r="I86" s="181"/>
      <c r="J86" s="272"/>
      <c r="L86" s="6" t="s">
        <v>411</v>
      </c>
      <c r="M86" s="6">
        <v>12</v>
      </c>
      <c r="N86" s="6">
        <f t="shared" si="1"/>
        <v>98</v>
      </c>
    </row>
    <row r="87" spans="1:14" s="6" customFormat="1" x14ac:dyDescent="0.25">
      <c r="A87" s="10">
        <v>85</v>
      </c>
      <c r="B87" s="178">
        <v>43092</v>
      </c>
      <c r="C87" s="10" t="s">
        <v>124</v>
      </c>
      <c r="D87" s="10" t="s">
        <v>123</v>
      </c>
      <c r="E87" s="10" t="s">
        <v>183</v>
      </c>
      <c r="F87" s="185">
        <v>3</v>
      </c>
      <c r="G87" s="144">
        <v>16</v>
      </c>
      <c r="H87" s="144">
        <v>17</v>
      </c>
      <c r="I87" s="181"/>
      <c r="J87" s="272"/>
      <c r="L87" s="6" t="s">
        <v>412</v>
      </c>
      <c r="M87" s="6">
        <v>5</v>
      </c>
      <c r="N87" s="6">
        <f t="shared" si="1"/>
        <v>103</v>
      </c>
    </row>
    <row r="88" spans="1:14" s="6" customFormat="1" ht="15.75" thickBot="1" x14ac:dyDescent="0.3">
      <c r="A88" s="151">
        <v>86</v>
      </c>
      <c r="B88" s="150">
        <v>43100</v>
      </c>
      <c r="C88" s="151" t="s">
        <v>420</v>
      </c>
      <c r="D88" s="151" t="s">
        <v>129</v>
      </c>
      <c r="E88" s="151" t="s">
        <v>183</v>
      </c>
      <c r="F88" s="183">
        <v>3</v>
      </c>
      <c r="G88" s="142">
        <v>20</v>
      </c>
      <c r="H88" s="142">
        <v>12</v>
      </c>
      <c r="I88" s="165"/>
      <c r="J88" s="141" t="s">
        <v>306</v>
      </c>
      <c r="L88" s="145" t="s">
        <v>413</v>
      </c>
      <c r="M88" s="6">
        <v>1</v>
      </c>
      <c r="N88" s="6">
        <f t="shared" si="1"/>
        <v>104</v>
      </c>
    </row>
    <row r="89" spans="1:14" s="6" customFormat="1" x14ac:dyDescent="0.25">
      <c r="A89" s="10">
        <v>87</v>
      </c>
      <c r="B89" s="178">
        <v>43107</v>
      </c>
      <c r="C89" s="10" t="s">
        <v>222</v>
      </c>
      <c r="D89" s="10" t="s">
        <v>129</v>
      </c>
      <c r="E89" s="10" t="s">
        <v>183</v>
      </c>
      <c r="F89" s="185">
        <v>3</v>
      </c>
      <c r="G89" s="144">
        <v>12</v>
      </c>
      <c r="H89" s="144">
        <v>41</v>
      </c>
      <c r="I89" s="181"/>
      <c r="J89" s="272"/>
    </row>
    <row r="90" spans="1:14" s="6" customFormat="1" x14ac:dyDescent="0.25">
      <c r="A90" s="6">
        <v>88</v>
      </c>
      <c r="B90" s="92">
        <v>43121</v>
      </c>
      <c r="C90" s="6" t="s">
        <v>63</v>
      </c>
      <c r="D90" s="6" t="s">
        <v>64</v>
      </c>
      <c r="E90" s="6" t="s">
        <v>183</v>
      </c>
      <c r="F90" s="167">
        <v>3</v>
      </c>
      <c r="G90" s="377">
        <v>1</v>
      </c>
      <c r="H90" s="377">
        <v>55</v>
      </c>
      <c r="I90" s="95"/>
      <c r="J90" s="376" t="s">
        <v>306</v>
      </c>
    </row>
    <row r="91" spans="1:14" s="6" customFormat="1" x14ac:dyDescent="0.25">
      <c r="A91" s="10">
        <v>89</v>
      </c>
      <c r="B91" s="178">
        <v>43128</v>
      </c>
      <c r="C91" s="10" t="s">
        <v>433</v>
      </c>
      <c r="D91" s="10" t="s">
        <v>123</v>
      </c>
      <c r="E91" s="10" t="s">
        <v>183</v>
      </c>
      <c r="F91" s="185">
        <v>3</v>
      </c>
      <c r="G91" s="144">
        <v>24</v>
      </c>
      <c r="H91" s="144">
        <v>8</v>
      </c>
      <c r="I91" s="181"/>
      <c r="J91" s="272"/>
    </row>
    <row r="92" spans="1:14" s="6" customFormat="1" x14ac:dyDescent="0.25">
      <c r="A92" s="6">
        <v>90</v>
      </c>
      <c r="B92" s="92">
        <v>43134</v>
      </c>
      <c r="C92" s="6" t="s">
        <v>434</v>
      </c>
      <c r="D92" s="6" t="s">
        <v>123</v>
      </c>
      <c r="E92" s="6" t="s">
        <v>183</v>
      </c>
      <c r="F92" s="167">
        <v>3</v>
      </c>
      <c r="G92" s="377">
        <v>9</v>
      </c>
      <c r="H92" s="377">
        <v>29</v>
      </c>
      <c r="I92" s="95"/>
      <c r="J92" s="376"/>
    </row>
    <row r="93" spans="1:14" s="6" customFormat="1" x14ac:dyDescent="0.25">
      <c r="A93" s="10">
        <v>91</v>
      </c>
      <c r="B93" s="92">
        <v>43156</v>
      </c>
      <c r="C93" s="6" t="s">
        <v>421</v>
      </c>
      <c r="D93" s="6" t="s">
        <v>436</v>
      </c>
      <c r="E93" s="6" t="s">
        <v>431</v>
      </c>
      <c r="F93" s="167">
        <v>2</v>
      </c>
      <c r="G93" s="377">
        <v>59</v>
      </c>
      <c r="H93" s="377">
        <v>40</v>
      </c>
      <c r="I93" s="95"/>
      <c r="J93" s="376" t="s">
        <v>306</v>
      </c>
    </row>
    <row r="94" spans="1:14" s="6" customFormat="1" x14ac:dyDescent="0.25">
      <c r="A94" s="6">
        <v>92</v>
      </c>
      <c r="B94" s="92">
        <v>43184</v>
      </c>
      <c r="C94" s="6" t="s">
        <v>437</v>
      </c>
      <c r="D94" s="6" t="s">
        <v>165</v>
      </c>
      <c r="E94" s="6" t="s">
        <v>183</v>
      </c>
      <c r="F94" s="167">
        <v>3</v>
      </c>
      <c r="G94" s="377">
        <v>34</v>
      </c>
      <c r="H94" s="377">
        <v>55</v>
      </c>
      <c r="I94" s="95"/>
      <c r="J94" s="376"/>
    </row>
    <row r="95" spans="1:14" s="9" customFormat="1" x14ac:dyDescent="0.25">
      <c r="A95" s="10">
        <v>93</v>
      </c>
      <c r="B95" s="178">
        <v>43188</v>
      </c>
      <c r="C95" s="10" t="s">
        <v>438</v>
      </c>
      <c r="D95" s="10" t="s">
        <v>439</v>
      </c>
      <c r="E95" s="10" t="s">
        <v>183</v>
      </c>
      <c r="F95" s="185">
        <v>3</v>
      </c>
      <c r="G95" s="144">
        <v>18</v>
      </c>
      <c r="H95" s="144">
        <v>15</v>
      </c>
      <c r="I95" s="181"/>
      <c r="J95" s="272"/>
    </row>
    <row r="96" spans="1:14" s="6" customFormat="1" x14ac:dyDescent="0.25">
      <c r="A96" s="6">
        <v>94</v>
      </c>
      <c r="B96" s="92">
        <v>43205</v>
      </c>
      <c r="C96" s="6" t="s">
        <v>410</v>
      </c>
      <c r="D96" s="6" t="s">
        <v>440</v>
      </c>
      <c r="E96" s="6" t="s">
        <v>183</v>
      </c>
      <c r="F96" s="167">
        <v>3</v>
      </c>
      <c r="G96" s="377">
        <v>10</v>
      </c>
      <c r="H96" s="377">
        <v>25</v>
      </c>
      <c r="I96" s="95"/>
      <c r="J96" s="376"/>
    </row>
    <row r="97" spans="1:24" s="6" customFormat="1" x14ac:dyDescent="0.25">
      <c r="A97" s="10">
        <v>95</v>
      </c>
      <c r="B97" s="92">
        <v>43219</v>
      </c>
      <c r="C97" s="6" t="s">
        <v>70</v>
      </c>
      <c r="D97" s="6" t="s">
        <v>71</v>
      </c>
      <c r="E97" s="6" t="s">
        <v>184</v>
      </c>
      <c r="F97" s="167">
        <v>3</v>
      </c>
      <c r="G97" s="377">
        <v>12</v>
      </c>
      <c r="H97" s="377">
        <v>13</v>
      </c>
      <c r="I97" s="95"/>
      <c r="J97" s="376" t="s">
        <v>306</v>
      </c>
    </row>
    <row r="98" spans="1:24" s="6" customFormat="1" x14ac:dyDescent="0.25">
      <c r="A98" s="6">
        <v>96</v>
      </c>
      <c r="B98" s="92">
        <v>43233</v>
      </c>
      <c r="C98" s="6" t="s">
        <v>73</v>
      </c>
      <c r="D98" s="6" t="s">
        <v>74</v>
      </c>
      <c r="E98" s="6" t="s">
        <v>183</v>
      </c>
      <c r="F98" s="167">
        <v>3</v>
      </c>
      <c r="G98" s="377">
        <v>15</v>
      </c>
      <c r="H98" s="377">
        <v>5</v>
      </c>
      <c r="I98" s="95"/>
      <c r="J98" s="376" t="s">
        <v>306</v>
      </c>
    </row>
    <row r="99" spans="1:24" s="6" customFormat="1" x14ac:dyDescent="0.25">
      <c r="A99" s="10">
        <v>97</v>
      </c>
      <c r="B99" s="178">
        <v>43254</v>
      </c>
      <c r="C99" s="10" t="s">
        <v>428</v>
      </c>
      <c r="D99" s="10" t="s">
        <v>443</v>
      </c>
      <c r="E99" s="10" t="s">
        <v>430</v>
      </c>
      <c r="F99" s="185">
        <v>3</v>
      </c>
      <c r="G99" s="144">
        <v>12</v>
      </c>
      <c r="H99" s="144">
        <v>42</v>
      </c>
      <c r="I99" s="181"/>
      <c r="J99" s="272" t="s">
        <v>306</v>
      </c>
    </row>
    <row r="100" spans="1:24" s="6" customFormat="1" x14ac:dyDescent="0.25">
      <c r="A100" s="6">
        <v>98</v>
      </c>
      <c r="B100" s="92">
        <v>43261</v>
      </c>
      <c r="C100" s="6" t="s">
        <v>357</v>
      </c>
      <c r="D100" s="6" t="s">
        <v>358</v>
      </c>
      <c r="E100" s="6" t="s">
        <v>184</v>
      </c>
      <c r="F100" s="167">
        <v>3</v>
      </c>
      <c r="G100" s="375">
        <v>11</v>
      </c>
      <c r="H100" s="375">
        <v>37</v>
      </c>
      <c r="I100" s="95"/>
      <c r="J100" s="374" t="s">
        <v>306</v>
      </c>
    </row>
    <row r="101" spans="1:24" s="6" customFormat="1" x14ac:dyDescent="0.25">
      <c r="A101" s="10">
        <v>99</v>
      </c>
      <c r="B101" s="92">
        <v>43274</v>
      </c>
      <c r="C101" s="6" t="s">
        <v>174</v>
      </c>
      <c r="D101" s="6" t="s">
        <v>175</v>
      </c>
      <c r="E101" s="6" t="s">
        <v>183</v>
      </c>
      <c r="F101" s="167">
        <v>3</v>
      </c>
      <c r="G101" s="377">
        <v>15</v>
      </c>
      <c r="H101" s="377">
        <v>18</v>
      </c>
      <c r="I101" s="95"/>
      <c r="J101" s="376" t="s">
        <v>306</v>
      </c>
    </row>
    <row r="102" spans="1:24" s="6" customFormat="1" x14ac:dyDescent="0.25">
      <c r="A102" s="6">
        <v>100</v>
      </c>
      <c r="B102" s="92">
        <v>43337</v>
      </c>
      <c r="C102" s="6" t="s">
        <v>117</v>
      </c>
      <c r="D102" s="6" t="s">
        <v>118</v>
      </c>
      <c r="E102" s="6" t="s">
        <v>183</v>
      </c>
      <c r="F102" s="167">
        <v>3</v>
      </c>
      <c r="G102" s="377">
        <v>48</v>
      </c>
      <c r="H102" s="377">
        <v>52</v>
      </c>
      <c r="I102" s="95"/>
      <c r="J102" s="376" t="s">
        <v>306</v>
      </c>
    </row>
    <row r="103" spans="1:24" s="6" customFormat="1" x14ac:dyDescent="0.25">
      <c r="A103" s="10">
        <v>101</v>
      </c>
      <c r="B103" s="92">
        <v>43358</v>
      </c>
      <c r="C103" s="6" t="s">
        <v>422</v>
      </c>
      <c r="D103" s="6" t="s">
        <v>371</v>
      </c>
      <c r="E103" s="6" t="s">
        <v>183</v>
      </c>
      <c r="F103" s="167">
        <v>3</v>
      </c>
      <c r="G103" s="377">
        <v>9</v>
      </c>
      <c r="H103" s="377">
        <v>8</v>
      </c>
      <c r="I103" s="95"/>
      <c r="J103" s="376" t="s">
        <v>306</v>
      </c>
    </row>
    <row r="104" spans="1:24" s="6" customFormat="1" x14ac:dyDescent="0.25">
      <c r="A104" s="10">
        <v>102</v>
      </c>
      <c r="B104" s="92">
        <v>43373</v>
      </c>
      <c r="C104" s="6" t="s">
        <v>122</v>
      </c>
      <c r="D104" s="6" t="s">
        <v>123</v>
      </c>
      <c r="E104" s="6" t="s">
        <v>183</v>
      </c>
      <c r="F104" s="167">
        <v>3</v>
      </c>
      <c r="G104" s="377">
        <v>10</v>
      </c>
      <c r="H104" s="377">
        <v>37</v>
      </c>
      <c r="I104" s="95"/>
      <c r="J104" s="376" t="s">
        <v>306</v>
      </c>
    </row>
    <row r="105" spans="1:24" s="6" customFormat="1" x14ac:dyDescent="0.25">
      <c r="A105" s="10">
        <v>103</v>
      </c>
      <c r="B105" s="92">
        <v>43379</v>
      </c>
      <c r="C105" s="6" t="s">
        <v>454</v>
      </c>
      <c r="D105" s="6" t="s">
        <v>453</v>
      </c>
      <c r="E105" s="6" t="s">
        <v>452</v>
      </c>
      <c r="F105" s="167">
        <v>3</v>
      </c>
      <c r="G105" s="353">
        <v>8</v>
      </c>
      <c r="H105" s="353">
        <v>1</v>
      </c>
      <c r="I105" s="95"/>
      <c r="J105" s="352" t="s">
        <v>306</v>
      </c>
    </row>
    <row r="106" spans="1:24" s="97" customFormat="1" x14ac:dyDescent="0.25">
      <c r="A106" s="254">
        <v>104</v>
      </c>
      <c r="B106" s="92">
        <v>43408</v>
      </c>
      <c r="C106" s="6" t="s">
        <v>457</v>
      </c>
      <c r="D106" s="6" t="s">
        <v>458</v>
      </c>
      <c r="E106" s="6" t="s">
        <v>455</v>
      </c>
      <c r="F106" s="167">
        <v>3</v>
      </c>
      <c r="G106" s="378">
        <v>4</v>
      </c>
      <c r="H106" s="378">
        <v>11</v>
      </c>
      <c r="J106" s="30" t="s">
        <v>306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:24" s="97" customFormat="1" x14ac:dyDescent="0.25">
      <c r="A107"/>
      <c r="B107" s="93"/>
      <c r="C107"/>
      <c r="D107"/>
      <c r="E107"/>
      <c r="F107" s="168"/>
      <c r="G107" s="166"/>
      <c r="H107" s="166"/>
      <c r="J107" s="30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s="97" customFormat="1" x14ac:dyDescent="0.25">
      <c r="A108"/>
      <c r="B108" s="93"/>
      <c r="C108"/>
      <c r="D108"/>
      <c r="E108"/>
      <c r="F108" s="168"/>
      <c r="G108" s="166"/>
      <c r="H108" s="166"/>
      <c r="J108" s="30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:24" s="97" customFormat="1" x14ac:dyDescent="0.25">
      <c r="A109"/>
      <c r="B109" s="93"/>
      <c r="C109"/>
      <c r="D109"/>
      <c r="E109"/>
      <c r="F109" s="168"/>
      <c r="G109" s="166"/>
      <c r="H109" s="166"/>
      <c r="J109" s="30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:24" s="97" customFormat="1" x14ac:dyDescent="0.25">
      <c r="A110"/>
      <c r="B110" s="93"/>
      <c r="C110"/>
      <c r="D110"/>
      <c r="E110"/>
      <c r="F110" s="168"/>
      <c r="G110" s="166"/>
      <c r="H110" s="166"/>
      <c r="J110" s="3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:24" s="97" customFormat="1" x14ac:dyDescent="0.25">
      <c r="A111"/>
      <c r="B111" s="93"/>
      <c r="C111"/>
      <c r="D111"/>
      <c r="E111"/>
      <c r="F111" s="168"/>
      <c r="G111" s="166"/>
      <c r="H111" s="166"/>
      <c r="J111" s="30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1:24" s="97" customFormat="1" x14ac:dyDescent="0.25">
      <c r="A112"/>
      <c r="B112" s="93"/>
      <c r="C112"/>
      <c r="D112"/>
      <c r="E112"/>
      <c r="F112" s="168"/>
      <c r="G112" s="166"/>
      <c r="H112" s="166"/>
      <c r="J112" s="30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1:24" s="97" customFormat="1" x14ac:dyDescent="0.25">
      <c r="A113"/>
      <c r="B113" s="93"/>
      <c r="C113"/>
      <c r="D113"/>
      <c r="E113"/>
      <c r="F113" s="168"/>
      <c r="G113" s="166"/>
      <c r="H113" s="166"/>
      <c r="J113" s="30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1:24" s="97" customFormat="1" x14ac:dyDescent="0.25">
      <c r="A114"/>
      <c r="B114" s="93"/>
      <c r="C114"/>
      <c r="D114"/>
      <c r="E114"/>
      <c r="F114" s="168"/>
      <c r="G114" s="166"/>
      <c r="H114" s="166"/>
      <c r="J114" s="30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1:24" s="97" customFormat="1" x14ac:dyDescent="0.25">
      <c r="A115"/>
      <c r="B115" s="93"/>
      <c r="C115"/>
      <c r="D115"/>
      <c r="E115"/>
      <c r="F115" s="168"/>
      <c r="G115" s="166"/>
      <c r="H115" s="166"/>
      <c r="J115" s="30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1:24" s="97" customFormat="1" x14ac:dyDescent="0.25">
      <c r="A116"/>
      <c r="B116" s="93"/>
      <c r="C116"/>
      <c r="D116"/>
      <c r="E116"/>
      <c r="F116" s="168"/>
      <c r="G116" s="166"/>
      <c r="H116" s="166"/>
      <c r="J116" s="30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1:24" s="97" customFormat="1" x14ac:dyDescent="0.25">
      <c r="A117"/>
      <c r="B117" s="93"/>
      <c r="C117"/>
      <c r="D117"/>
      <c r="E117"/>
      <c r="F117" s="168"/>
      <c r="G117" s="166"/>
      <c r="H117" s="166"/>
      <c r="J117" s="30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1:24" s="97" customFormat="1" x14ac:dyDescent="0.25">
      <c r="A118"/>
      <c r="B118" s="93"/>
      <c r="C118"/>
      <c r="D118"/>
      <c r="E118"/>
      <c r="F118" s="168"/>
      <c r="G118" s="166"/>
      <c r="H118" s="166"/>
      <c r="J118" s="30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1:24" s="97" customFormat="1" x14ac:dyDescent="0.25">
      <c r="A119"/>
      <c r="B119" s="93"/>
      <c r="C119"/>
      <c r="D119"/>
      <c r="E119"/>
      <c r="F119" s="168"/>
      <c r="G119" s="166"/>
      <c r="H119" s="166"/>
      <c r="J119" s="30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 s="97" customFormat="1" x14ac:dyDescent="0.25">
      <c r="A120"/>
      <c r="B120" s="93"/>
      <c r="C120"/>
      <c r="D120"/>
      <c r="E120"/>
      <c r="F120" s="168"/>
      <c r="G120" s="166"/>
      <c r="H120" s="166"/>
      <c r="J120" s="3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 s="97" customFormat="1" x14ac:dyDescent="0.25">
      <c r="A121"/>
      <c r="B121" s="93"/>
      <c r="C121"/>
      <c r="D121"/>
      <c r="E121"/>
      <c r="F121" s="168"/>
      <c r="G121" s="166"/>
      <c r="H121" s="166"/>
      <c r="J121" s="30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</sheetData>
  <sortState ref="A3:R105">
    <sortCondition ref="A3:A105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9"/>
  <sheetViews>
    <sheetView workbookViewId="0">
      <pane ySplit="2" topLeftCell="A3" activePane="bottomLeft" state="frozen"/>
      <selection pane="bottomLeft" activeCell="A13" sqref="A13"/>
    </sheetView>
  </sheetViews>
  <sheetFormatPr defaultRowHeight="15" x14ac:dyDescent="0.25"/>
  <cols>
    <col min="1" max="1" width="3.7109375" bestFit="1" customWidth="1"/>
    <col min="2" max="2" width="8.140625" style="93" bestFit="1" customWidth="1"/>
    <col min="3" max="3" width="28.85546875" bestFit="1" customWidth="1"/>
    <col min="4" max="4" width="18" bestFit="1" customWidth="1"/>
    <col min="5" max="6" width="11" customWidth="1"/>
    <col min="8" max="8" width="3.42578125" style="139" customWidth="1"/>
    <col min="9" max="11" width="3.42578125" style="97" customWidth="1"/>
  </cols>
  <sheetData>
    <row r="1" spans="1:12" s="6" customFormat="1" x14ac:dyDescent="0.25">
      <c r="A1" s="6" t="s">
        <v>58</v>
      </c>
      <c r="B1" s="92" t="s">
        <v>62</v>
      </c>
      <c r="C1" s="6" t="s">
        <v>60</v>
      </c>
      <c r="D1" s="6" t="s">
        <v>61</v>
      </c>
      <c r="E1" s="6" t="s">
        <v>75</v>
      </c>
      <c r="F1" s="6" t="s">
        <v>127</v>
      </c>
      <c r="H1" s="136"/>
      <c r="I1" s="95" t="s">
        <v>8</v>
      </c>
      <c r="J1" s="95"/>
      <c r="K1" s="95"/>
    </row>
    <row r="2" spans="1:12" s="6" customFormat="1" ht="15.75" thickBot="1" x14ac:dyDescent="0.3">
      <c r="B2" s="92"/>
      <c r="H2" s="140" t="s">
        <v>66</v>
      </c>
      <c r="I2" s="142" t="s">
        <v>67</v>
      </c>
      <c r="J2" s="142" t="s">
        <v>65</v>
      </c>
      <c r="K2" s="190"/>
      <c r="L2" s="6" t="s">
        <v>144</v>
      </c>
    </row>
    <row r="3" spans="1:12" s="6" customFormat="1" x14ac:dyDescent="0.25">
      <c r="B3" s="92"/>
      <c r="H3" s="143"/>
      <c r="I3" s="144"/>
      <c r="J3" s="144"/>
      <c r="K3" s="190"/>
    </row>
    <row r="4" spans="1:12" s="6" customFormat="1" x14ac:dyDescent="0.25">
      <c r="A4" s="6">
        <v>1</v>
      </c>
      <c r="B4" s="92">
        <v>41804</v>
      </c>
      <c r="C4" s="6" t="s">
        <v>172</v>
      </c>
      <c r="D4" s="6" t="s">
        <v>173</v>
      </c>
      <c r="E4" s="91">
        <v>275</v>
      </c>
      <c r="F4" s="6">
        <v>58</v>
      </c>
      <c r="H4" s="137">
        <v>5</v>
      </c>
      <c r="I4" s="95">
        <v>33</v>
      </c>
      <c r="J4" s="95">
        <v>46</v>
      </c>
      <c r="K4" s="95"/>
      <c r="L4" s="145">
        <v>0.23055555555555554</v>
      </c>
    </row>
    <row r="5" spans="1:12" s="6" customFormat="1" x14ac:dyDescent="0.25">
      <c r="A5" s="6">
        <v>2</v>
      </c>
      <c r="B5" s="92">
        <v>41958</v>
      </c>
      <c r="C5" s="6" t="s">
        <v>195</v>
      </c>
      <c r="D5" s="6" t="s">
        <v>111</v>
      </c>
      <c r="E5" s="91">
        <v>175</v>
      </c>
      <c r="F5" s="6">
        <v>67.149000000000001</v>
      </c>
      <c r="H5" s="137">
        <v>6</v>
      </c>
      <c r="I5" s="95">
        <v>0</v>
      </c>
      <c r="J5" s="95">
        <v>0</v>
      </c>
      <c r="K5" s="95"/>
      <c r="L5" s="145">
        <v>0.22569444444444445</v>
      </c>
    </row>
    <row r="6" spans="1:12" s="6" customFormat="1" x14ac:dyDescent="0.25">
      <c r="A6" s="6">
        <v>3</v>
      </c>
      <c r="B6" s="178">
        <v>42127</v>
      </c>
      <c r="C6" s="10" t="s">
        <v>209</v>
      </c>
      <c r="D6" s="10" t="s">
        <v>210</v>
      </c>
      <c r="E6" s="10">
        <v>350</v>
      </c>
      <c r="F6" s="10">
        <v>44.33</v>
      </c>
      <c r="G6" s="10"/>
      <c r="H6" s="180">
        <v>3</v>
      </c>
      <c r="I6" s="181">
        <v>17</v>
      </c>
      <c r="J6" s="181">
        <v>0</v>
      </c>
      <c r="K6" s="181"/>
      <c r="L6" s="182">
        <v>0.18541666666666667</v>
      </c>
    </row>
    <row r="7" spans="1:12" s="6" customFormat="1" x14ac:dyDescent="0.25">
      <c r="A7" s="6">
        <v>4</v>
      </c>
      <c r="B7" s="178">
        <v>42138</v>
      </c>
      <c r="C7" s="10" t="s">
        <v>213</v>
      </c>
      <c r="D7" s="10" t="s">
        <v>126</v>
      </c>
      <c r="E7" s="10">
        <v>750</v>
      </c>
      <c r="F7" s="10">
        <v>100</v>
      </c>
      <c r="G7" s="10"/>
      <c r="H7" s="180">
        <v>11</v>
      </c>
      <c r="I7" s="181">
        <v>5</v>
      </c>
      <c r="J7" s="181">
        <v>44</v>
      </c>
      <c r="K7" s="181"/>
      <c r="L7" s="182">
        <v>0.27708333333333335</v>
      </c>
    </row>
    <row r="8" spans="1:12" s="6" customFormat="1" x14ac:dyDescent="0.25">
      <c r="A8" s="6">
        <v>5</v>
      </c>
      <c r="B8" s="92">
        <v>42495</v>
      </c>
      <c r="C8" s="6" t="s">
        <v>297</v>
      </c>
      <c r="D8" s="6" t="s">
        <v>298</v>
      </c>
      <c r="E8" s="6">
        <v>250</v>
      </c>
      <c r="F8" s="6">
        <v>52.7</v>
      </c>
      <c r="H8" s="137">
        <v>4</v>
      </c>
      <c r="I8" s="95">
        <v>45</v>
      </c>
      <c r="J8" s="95">
        <v>16</v>
      </c>
      <c r="K8" s="95"/>
      <c r="L8" s="145">
        <v>0.22500000000000001</v>
      </c>
    </row>
    <row r="9" spans="1:12" s="6" customFormat="1" x14ac:dyDescent="0.25">
      <c r="A9" s="6">
        <v>6</v>
      </c>
      <c r="B9" s="92">
        <v>42595</v>
      </c>
      <c r="C9" s="6" t="s">
        <v>312</v>
      </c>
      <c r="D9" s="6" t="s">
        <v>298</v>
      </c>
      <c r="E9" s="6">
        <v>515</v>
      </c>
      <c r="F9" s="6">
        <v>100</v>
      </c>
      <c r="H9" s="137">
        <v>10</v>
      </c>
      <c r="I9" s="95">
        <v>3</v>
      </c>
      <c r="J9" s="95">
        <v>24</v>
      </c>
      <c r="K9" s="95"/>
      <c r="L9" s="145">
        <v>0.25208333333333333</v>
      </c>
    </row>
    <row r="10" spans="1:12" s="6" customFormat="1" x14ac:dyDescent="0.25">
      <c r="A10" s="6">
        <v>7</v>
      </c>
      <c r="B10" s="92">
        <v>42959</v>
      </c>
      <c r="C10" s="6" t="s">
        <v>370</v>
      </c>
      <c r="D10" s="6" t="s">
        <v>371</v>
      </c>
      <c r="E10" s="6">
        <v>1425</v>
      </c>
      <c r="F10" s="6">
        <v>160.9</v>
      </c>
      <c r="H10" s="137">
        <v>22</v>
      </c>
      <c r="I10" s="95">
        <v>46</v>
      </c>
      <c r="J10" s="95">
        <v>45</v>
      </c>
      <c r="K10" s="95"/>
      <c r="L10" s="145">
        <v>0.3520833333333333</v>
      </c>
    </row>
    <row r="11" spans="1:12" s="6" customFormat="1" x14ac:dyDescent="0.25">
      <c r="A11" s="6">
        <v>8</v>
      </c>
      <c r="B11" s="92">
        <v>43230</v>
      </c>
      <c r="C11" s="6" t="s">
        <v>213</v>
      </c>
      <c r="D11" s="6" t="s">
        <v>126</v>
      </c>
      <c r="E11" s="6">
        <v>850</v>
      </c>
      <c r="F11" s="6">
        <v>100</v>
      </c>
      <c r="H11" s="137">
        <v>11</v>
      </c>
      <c r="I11" s="95">
        <v>6</v>
      </c>
      <c r="J11" s="95">
        <v>21</v>
      </c>
      <c r="K11" s="95"/>
      <c r="L11" s="145">
        <v>0.2722222222222222</v>
      </c>
    </row>
    <row r="12" spans="1:12" s="6" customFormat="1" x14ac:dyDescent="0.25">
      <c r="A12" s="6">
        <v>9</v>
      </c>
      <c r="B12" s="92">
        <v>43323</v>
      </c>
      <c r="C12" s="6" t="s">
        <v>370</v>
      </c>
      <c r="D12" s="6" t="s">
        <v>371</v>
      </c>
      <c r="E12" s="6">
        <v>1427</v>
      </c>
      <c r="F12" s="6">
        <v>160.9</v>
      </c>
      <c r="H12" s="137">
        <v>19</v>
      </c>
      <c r="I12" s="95">
        <v>4</v>
      </c>
      <c r="J12" s="95">
        <v>43</v>
      </c>
      <c r="K12" s="95"/>
      <c r="L12" s="145">
        <v>0.29305555555555557</v>
      </c>
    </row>
    <row r="13" spans="1:12" s="6" customFormat="1" x14ac:dyDescent="0.25">
      <c r="B13" s="92"/>
      <c r="H13" s="137"/>
      <c r="I13" s="95"/>
      <c r="J13" s="95"/>
      <c r="K13" s="95"/>
      <c r="L13" s="145"/>
    </row>
    <row r="14" spans="1:12" s="6" customFormat="1" x14ac:dyDescent="0.25">
      <c r="B14" s="92"/>
      <c r="H14" s="137"/>
      <c r="I14" s="95"/>
      <c r="J14" s="95"/>
      <c r="K14" s="95"/>
      <c r="L14" s="145"/>
    </row>
    <row r="15" spans="1:12" s="6" customFormat="1" x14ac:dyDescent="0.25">
      <c r="B15" s="92"/>
      <c r="H15" s="137"/>
      <c r="I15" s="95"/>
      <c r="J15" s="95"/>
      <c r="K15" s="95"/>
      <c r="L15" s="145"/>
    </row>
    <row r="16" spans="1:12" s="6" customFormat="1" x14ac:dyDescent="0.25">
      <c r="B16" s="92"/>
      <c r="H16" s="137"/>
      <c r="I16" s="95"/>
      <c r="J16" s="95"/>
      <c r="K16" s="95"/>
    </row>
    <row r="17" spans="1:32" s="6" customFormat="1" x14ac:dyDescent="0.25">
      <c r="B17" s="92"/>
      <c r="E17" s="91">
        <f>SUM(E4:E16)</f>
        <v>6017</v>
      </c>
      <c r="F17" s="91">
        <f>SUM(F4:F16)</f>
        <v>843.97899999999993</v>
      </c>
      <c r="H17" s="137"/>
      <c r="I17" s="95"/>
      <c r="J17" s="95"/>
      <c r="K17" s="95"/>
    </row>
    <row r="18" spans="1:32" x14ac:dyDescent="0.25">
      <c r="A18" s="6"/>
      <c r="H18" s="138"/>
    </row>
    <row r="19" spans="1:32" x14ac:dyDescent="0.25">
      <c r="A19" s="6"/>
      <c r="H19" s="138"/>
    </row>
    <row r="20" spans="1:32" x14ac:dyDescent="0.25">
      <c r="A20" s="6"/>
      <c r="H20" s="138"/>
    </row>
    <row r="21" spans="1:32" x14ac:dyDescent="0.25">
      <c r="A21" s="6"/>
      <c r="H21" s="138"/>
    </row>
    <row r="22" spans="1:32" x14ac:dyDescent="0.25">
      <c r="A22" s="6"/>
      <c r="H22" s="138"/>
    </row>
    <row r="23" spans="1:32" x14ac:dyDescent="0.25">
      <c r="A23" s="6"/>
      <c r="H23" s="138"/>
    </row>
    <row r="24" spans="1:32" x14ac:dyDescent="0.25">
      <c r="A24" s="6"/>
      <c r="H24" s="138"/>
    </row>
    <row r="25" spans="1:32" x14ac:dyDescent="0.25">
      <c r="A25" s="6"/>
      <c r="H25" s="138"/>
    </row>
    <row r="26" spans="1:32" x14ac:dyDescent="0.25">
      <c r="A26" s="6"/>
      <c r="H26" s="138"/>
    </row>
    <row r="27" spans="1:32" x14ac:dyDescent="0.25">
      <c r="H27" s="138"/>
    </row>
    <row r="28" spans="1:32" x14ac:dyDescent="0.25">
      <c r="H28" s="138"/>
    </row>
    <row r="29" spans="1:32" s="97" customFormat="1" x14ac:dyDescent="0.25">
      <c r="A29"/>
      <c r="B29" s="93"/>
      <c r="C29"/>
      <c r="D29"/>
      <c r="E29"/>
      <c r="F29"/>
      <c r="G29"/>
      <c r="H29" s="138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s="97" customFormat="1" x14ac:dyDescent="0.25">
      <c r="A30"/>
      <c r="B30" s="93"/>
      <c r="C30"/>
      <c r="D30"/>
      <c r="E30"/>
      <c r="F30"/>
      <c r="G30"/>
      <c r="H30" s="138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s="97" customFormat="1" x14ac:dyDescent="0.25">
      <c r="A31"/>
      <c r="B31" s="93"/>
      <c r="C31"/>
      <c r="D31"/>
      <c r="E31"/>
      <c r="F31"/>
      <c r="G31"/>
      <c r="H31" s="13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s="97" customFormat="1" x14ac:dyDescent="0.25">
      <c r="A32"/>
      <c r="B32" s="93"/>
      <c r="C32"/>
      <c r="D32"/>
      <c r="E32"/>
      <c r="F32"/>
      <c r="G32"/>
      <c r="H32" s="138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s="97" customFormat="1" x14ac:dyDescent="0.25">
      <c r="A33"/>
      <c r="B33" s="93"/>
      <c r="C33"/>
      <c r="D33"/>
      <c r="E33"/>
      <c r="F33"/>
      <c r="G33"/>
      <c r="H33" s="138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s="97" customFormat="1" x14ac:dyDescent="0.25">
      <c r="A34"/>
      <c r="B34" s="93"/>
      <c r="C34"/>
      <c r="D34"/>
      <c r="E34"/>
      <c r="F34"/>
      <c r="G34"/>
      <c r="H34" s="138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s="97" customFormat="1" x14ac:dyDescent="0.25">
      <c r="A35"/>
      <c r="B35" s="93"/>
      <c r="C35"/>
      <c r="D35"/>
      <c r="E35"/>
      <c r="F35"/>
      <c r="G35"/>
      <c r="H35" s="138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s="97" customFormat="1" x14ac:dyDescent="0.25">
      <c r="A36"/>
      <c r="B36" s="93"/>
      <c r="C36"/>
      <c r="D36"/>
      <c r="E36"/>
      <c r="F36"/>
      <c r="G36"/>
      <c r="H36" s="138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s="97" customFormat="1" x14ac:dyDescent="0.25">
      <c r="A37"/>
      <c r="B37" s="93"/>
      <c r="C37"/>
      <c r="D37"/>
      <c r="E37"/>
      <c r="F37"/>
      <c r="G37"/>
      <c r="H37" s="138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s="97" customFormat="1" x14ac:dyDescent="0.25">
      <c r="A38"/>
      <c r="B38" s="93"/>
      <c r="C38"/>
      <c r="D38"/>
      <c r="E38"/>
      <c r="F38"/>
      <c r="G38"/>
      <c r="H38" s="1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s="97" customFormat="1" x14ac:dyDescent="0.25">
      <c r="A39"/>
      <c r="B39" s="93"/>
      <c r="C39"/>
      <c r="D39"/>
      <c r="E39"/>
      <c r="F39"/>
      <c r="G39"/>
      <c r="H39" s="13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s="97" customFormat="1" x14ac:dyDescent="0.25">
      <c r="A40"/>
      <c r="B40" s="93"/>
      <c r="C40"/>
      <c r="D40"/>
      <c r="E40"/>
      <c r="F40"/>
      <c r="G40"/>
      <c r="H40" s="138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s="97" customFormat="1" x14ac:dyDescent="0.25">
      <c r="A41"/>
      <c r="B41" s="93"/>
      <c r="C41"/>
      <c r="D41"/>
      <c r="E41"/>
      <c r="F41"/>
      <c r="G41"/>
      <c r="H41" s="13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s="97" customFormat="1" x14ac:dyDescent="0.25">
      <c r="A42"/>
      <c r="B42" s="93"/>
      <c r="C42"/>
      <c r="D42"/>
      <c r="E42"/>
      <c r="F42"/>
      <c r="G42"/>
      <c r="H42" s="138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s="97" customFormat="1" x14ac:dyDescent="0.25">
      <c r="A43"/>
      <c r="B43" s="93"/>
      <c r="C43"/>
      <c r="D43"/>
      <c r="E43"/>
      <c r="F43"/>
      <c r="G43"/>
      <c r="H43" s="13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s="97" customFormat="1" x14ac:dyDescent="0.25">
      <c r="A44"/>
      <c r="B44" s="93"/>
      <c r="C44"/>
      <c r="D44"/>
      <c r="E44"/>
      <c r="F44"/>
      <c r="G44"/>
      <c r="H44" s="138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s="97" customFormat="1" x14ac:dyDescent="0.25">
      <c r="A45"/>
      <c r="B45" s="93"/>
      <c r="C45"/>
      <c r="D45"/>
      <c r="E45"/>
      <c r="F45"/>
      <c r="G45"/>
      <c r="H45" s="13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s="97" customFormat="1" x14ac:dyDescent="0.25">
      <c r="A46"/>
      <c r="B46" s="93"/>
      <c r="C46"/>
      <c r="D46"/>
      <c r="E46"/>
      <c r="F46"/>
      <c r="G46"/>
      <c r="H46" s="13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s="97" customFormat="1" x14ac:dyDescent="0.25">
      <c r="A47"/>
      <c r="B47" s="93"/>
      <c r="C47"/>
      <c r="D47"/>
      <c r="E47"/>
      <c r="F47"/>
      <c r="G47"/>
      <c r="H47" s="13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s="97" customFormat="1" x14ac:dyDescent="0.25">
      <c r="A48"/>
      <c r="B48" s="93"/>
      <c r="C48"/>
      <c r="D48"/>
      <c r="E48"/>
      <c r="F48"/>
      <c r="G48"/>
      <c r="H48" s="13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s="97" customFormat="1" x14ac:dyDescent="0.25">
      <c r="A49"/>
      <c r="B49" s="93"/>
      <c r="C49"/>
      <c r="D49"/>
      <c r="E49"/>
      <c r="F49"/>
      <c r="G49"/>
      <c r="H49" s="13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s="97" customFormat="1" x14ac:dyDescent="0.25">
      <c r="A50"/>
      <c r="B50" s="93"/>
      <c r="C50"/>
      <c r="D50"/>
      <c r="E50"/>
      <c r="F50"/>
      <c r="G50"/>
      <c r="H50" s="13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s="97" customFormat="1" x14ac:dyDescent="0.25">
      <c r="A51"/>
      <c r="B51" s="93"/>
      <c r="C51"/>
      <c r="D51"/>
      <c r="E51"/>
      <c r="F51"/>
      <c r="G51"/>
      <c r="H51" s="13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s="97" customFormat="1" x14ac:dyDescent="0.25">
      <c r="A52"/>
      <c r="B52" s="93"/>
      <c r="C52"/>
      <c r="D52"/>
      <c r="E52"/>
      <c r="F52"/>
      <c r="G52"/>
      <c r="H52" s="13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s="97" customFormat="1" x14ac:dyDescent="0.25">
      <c r="A53"/>
      <c r="B53" s="93"/>
      <c r="C53"/>
      <c r="D53"/>
      <c r="E53"/>
      <c r="F53"/>
      <c r="G53"/>
      <c r="H53" s="13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s="97" customFormat="1" x14ac:dyDescent="0.25">
      <c r="A54"/>
      <c r="B54" s="93"/>
      <c r="C54"/>
      <c r="D54"/>
      <c r="E54"/>
      <c r="F54"/>
      <c r="G54"/>
      <c r="H54" s="138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s="97" customFormat="1" x14ac:dyDescent="0.25">
      <c r="A55"/>
      <c r="B55" s="93"/>
      <c r="C55"/>
      <c r="D55"/>
      <c r="E55"/>
      <c r="F55"/>
      <c r="G55"/>
      <c r="H55" s="13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s="97" customFormat="1" x14ac:dyDescent="0.25">
      <c r="A56"/>
      <c r="B56" s="93"/>
      <c r="C56"/>
      <c r="D56"/>
      <c r="E56"/>
      <c r="F56"/>
      <c r="G56"/>
      <c r="H56" s="13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s="97" customFormat="1" x14ac:dyDescent="0.25">
      <c r="A57"/>
      <c r="B57" s="93"/>
      <c r="C57"/>
      <c r="D57"/>
      <c r="E57"/>
      <c r="F57"/>
      <c r="G57"/>
      <c r="H57" s="13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s="97" customFormat="1" x14ac:dyDescent="0.25">
      <c r="A58"/>
      <c r="B58" s="93"/>
      <c r="C58"/>
      <c r="D58"/>
      <c r="E58"/>
      <c r="F58"/>
      <c r="G58"/>
      <c r="H58" s="13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s="97" customFormat="1" x14ac:dyDescent="0.25">
      <c r="A59"/>
      <c r="B59" s="93"/>
      <c r="C59"/>
      <c r="D59"/>
      <c r="E59"/>
      <c r="F59"/>
      <c r="G59"/>
      <c r="H59" s="13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s="97" customFormat="1" x14ac:dyDescent="0.25">
      <c r="A60"/>
      <c r="B60" s="93"/>
      <c r="C60"/>
      <c r="D60"/>
      <c r="E60"/>
      <c r="F60"/>
      <c r="G60"/>
      <c r="H60" s="138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s="97" customFormat="1" x14ac:dyDescent="0.25">
      <c r="A61"/>
      <c r="B61" s="93"/>
      <c r="C61"/>
      <c r="D61"/>
      <c r="E61"/>
      <c r="F61"/>
      <c r="G61"/>
      <c r="H61" s="138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s="97" customFormat="1" x14ac:dyDescent="0.25">
      <c r="A62"/>
      <c r="B62" s="93"/>
      <c r="C62"/>
      <c r="D62"/>
      <c r="E62"/>
      <c r="F62"/>
      <c r="G62"/>
      <c r="H62" s="138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s="97" customFormat="1" x14ac:dyDescent="0.25">
      <c r="A63"/>
      <c r="B63" s="93"/>
      <c r="C63"/>
      <c r="D63"/>
      <c r="E63"/>
      <c r="F63"/>
      <c r="G63"/>
      <c r="H63" s="138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s="97" customFormat="1" x14ac:dyDescent="0.25">
      <c r="A64"/>
      <c r="B64" s="93"/>
      <c r="C64"/>
      <c r="D64"/>
      <c r="E64"/>
      <c r="F64"/>
      <c r="G64"/>
      <c r="H64" s="138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s="97" customFormat="1" x14ac:dyDescent="0.25">
      <c r="A65"/>
      <c r="B65" s="93"/>
      <c r="C65"/>
      <c r="D65"/>
      <c r="E65"/>
      <c r="F65"/>
      <c r="G65"/>
      <c r="H65" s="138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s="97" customFormat="1" x14ac:dyDescent="0.25">
      <c r="A66"/>
      <c r="B66" s="93"/>
      <c r="C66"/>
      <c r="D66"/>
      <c r="E66"/>
      <c r="F66"/>
      <c r="G66"/>
      <c r="H66" s="138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s="97" customFormat="1" x14ac:dyDescent="0.25">
      <c r="A67"/>
      <c r="B67" s="93"/>
      <c r="C67"/>
      <c r="D67"/>
      <c r="E67"/>
      <c r="F67"/>
      <c r="G67"/>
      <c r="H67" s="13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s="97" customFormat="1" x14ac:dyDescent="0.25">
      <c r="A68"/>
      <c r="B68" s="93"/>
      <c r="C68"/>
      <c r="D68"/>
      <c r="E68"/>
      <c r="F68"/>
      <c r="G68"/>
      <c r="H68" s="13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s="97" customFormat="1" x14ac:dyDescent="0.25">
      <c r="A69"/>
      <c r="B69" s="93"/>
      <c r="C69"/>
      <c r="D69"/>
      <c r="E69"/>
      <c r="F69"/>
      <c r="G69"/>
      <c r="H69" s="138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s="97" customFormat="1" x14ac:dyDescent="0.25">
      <c r="A70"/>
      <c r="B70" s="93"/>
      <c r="C70"/>
      <c r="D70"/>
      <c r="E70"/>
      <c r="F70"/>
      <c r="G70"/>
      <c r="H70" s="138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s="97" customFormat="1" x14ac:dyDescent="0.25">
      <c r="A71"/>
      <c r="B71" s="93"/>
      <c r="C71"/>
      <c r="D71"/>
      <c r="E71"/>
      <c r="F71"/>
      <c r="G71"/>
      <c r="H71" s="138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s="97" customFormat="1" x14ac:dyDescent="0.25">
      <c r="A72"/>
      <c r="B72" s="93"/>
      <c r="C72"/>
      <c r="D72"/>
      <c r="E72"/>
      <c r="F72"/>
      <c r="G72"/>
      <c r="H72" s="138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s="97" customFormat="1" x14ac:dyDescent="0.25">
      <c r="A73"/>
      <c r="B73" s="93"/>
      <c r="C73"/>
      <c r="D73"/>
      <c r="E73"/>
      <c r="F73"/>
      <c r="G73"/>
      <c r="H73" s="138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s="97" customFormat="1" x14ac:dyDescent="0.25">
      <c r="A74"/>
      <c r="B74" s="93"/>
      <c r="C74"/>
      <c r="D74"/>
      <c r="E74"/>
      <c r="F74"/>
      <c r="G74"/>
      <c r="H74" s="138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s="97" customFormat="1" x14ac:dyDescent="0.25">
      <c r="A75"/>
      <c r="B75" s="93"/>
      <c r="C75"/>
      <c r="D75"/>
      <c r="E75"/>
      <c r="F75"/>
      <c r="G75"/>
      <c r="H75" s="138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s="97" customFormat="1" x14ac:dyDescent="0.25">
      <c r="A76"/>
      <c r="B76" s="93"/>
      <c r="C76"/>
      <c r="D76"/>
      <c r="E76"/>
      <c r="F76"/>
      <c r="G76"/>
      <c r="H76" s="138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s="97" customFormat="1" x14ac:dyDescent="0.25">
      <c r="A77"/>
      <c r="B77" s="93"/>
      <c r="C77"/>
      <c r="D77"/>
      <c r="E77"/>
      <c r="F77"/>
      <c r="G77"/>
      <c r="H77" s="138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s="97" customFormat="1" x14ac:dyDescent="0.25">
      <c r="A78"/>
      <c r="B78" s="93"/>
      <c r="C78"/>
      <c r="D78"/>
      <c r="E78"/>
      <c r="F78"/>
      <c r="G78"/>
      <c r="H78" s="13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s="97" customFormat="1" x14ac:dyDescent="0.25">
      <c r="A79"/>
      <c r="B79" s="93"/>
      <c r="C79"/>
      <c r="D79"/>
      <c r="E79"/>
      <c r="F79"/>
      <c r="G79"/>
      <c r="H79" s="138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</sheetData>
  <pageMargins left="0.7" right="0.7" top="0.75" bottom="0.75" header="0.3" footer="0.3"/>
  <pageSetup paperSize="9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48"/>
  <sheetViews>
    <sheetView zoomScaleNormal="100" workbookViewId="0">
      <pane ySplit="2" topLeftCell="A162" activePane="bottomLeft" state="frozen"/>
      <selection pane="bottomLeft" activeCell="C178" sqref="C178"/>
    </sheetView>
  </sheetViews>
  <sheetFormatPr defaultRowHeight="15" x14ac:dyDescent="0.25"/>
  <cols>
    <col min="1" max="1" width="5.5703125" customWidth="1"/>
    <col min="2" max="2" width="2.85546875" customWidth="1"/>
    <col min="3" max="3" width="8.140625" style="93" bestFit="1" customWidth="1"/>
    <col min="4" max="4" width="43" bestFit="1" customWidth="1"/>
    <col min="5" max="5" width="18" bestFit="1" customWidth="1"/>
    <col min="6" max="6" width="11" customWidth="1"/>
    <col min="7" max="7" width="11" style="90" customWidth="1"/>
    <col min="8" max="8" width="11" customWidth="1"/>
    <col min="10" max="10" width="3.42578125" style="139" customWidth="1"/>
    <col min="11" max="13" width="3.42578125" style="97" customWidth="1"/>
  </cols>
  <sheetData>
    <row r="1" spans="1:14" s="6" customFormat="1" x14ac:dyDescent="0.25">
      <c r="A1" s="6" t="s">
        <v>58</v>
      </c>
      <c r="C1" s="92" t="s">
        <v>62</v>
      </c>
      <c r="D1" s="6" t="s">
        <v>60</v>
      </c>
      <c r="E1" s="6" t="s">
        <v>61</v>
      </c>
      <c r="F1" s="6" t="s">
        <v>75</v>
      </c>
      <c r="G1" s="91"/>
      <c r="H1" s="6" t="s">
        <v>127</v>
      </c>
      <c r="J1" s="136"/>
      <c r="K1" s="95" t="s">
        <v>8</v>
      </c>
      <c r="L1" s="95"/>
      <c r="M1" s="95"/>
    </row>
    <row r="2" spans="1:14" s="6" customFormat="1" ht="15.75" thickBot="1" x14ac:dyDescent="0.3">
      <c r="C2" s="92"/>
      <c r="G2" s="91"/>
      <c r="J2" s="140" t="s">
        <v>66</v>
      </c>
      <c r="K2" s="142" t="s">
        <v>67</v>
      </c>
      <c r="L2" s="142" t="s">
        <v>65</v>
      </c>
      <c r="M2" s="96"/>
      <c r="N2" s="6" t="s">
        <v>144</v>
      </c>
    </row>
    <row r="3" spans="1:14" s="6" customFormat="1" x14ac:dyDescent="0.25">
      <c r="C3" s="92"/>
      <c r="G3" s="91"/>
      <c r="J3" s="143"/>
      <c r="K3" s="144"/>
      <c r="L3" s="144"/>
      <c r="M3" s="96"/>
    </row>
    <row r="4" spans="1:14" s="6" customFormat="1" ht="15.75" thickBot="1" x14ac:dyDescent="0.3">
      <c r="A4" s="6">
        <v>1</v>
      </c>
      <c r="C4" s="150">
        <v>40410</v>
      </c>
      <c r="D4" s="151" t="s">
        <v>125</v>
      </c>
      <c r="E4" s="151" t="s">
        <v>126</v>
      </c>
      <c r="F4" s="151">
        <v>75</v>
      </c>
      <c r="G4" s="163">
        <f>SUM(F4)</f>
        <v>75</v>
      </c>
      <c r="H4" s="151">
        <v>6</v>
      </c>
      <c r="I4" s="151"/>
      <c r="J4" s="140">
        <v>0</v>
      </c>
      <c r="K4" s="142">
        <v>34</v>
      </c>
      <c r="L4" s="142">
        <v>49</v>
      </c>
      <c r="M4" s="142"/>
      <c r="N4" s="152">
        <v>0.24583333333333335</v>
      </c>
    </row>
    <row r="5" spans="1:14" s="6" customFormat="1" x14ac:dyDescent="0.25">
      <c r="A5" s="6">
        <v>2</v>
      </c>
      <c r="C5" s="92">
        <v>40671</v>
      </c>
      <c r="D5" s="6" t="s">
        <v>142</v>
      </c>
      <c r="E5" s="6" t="s">
        <v>143</v>
      </c>
      <c r="F5" s="6">
        <v>75</v>
      </c>
      <c r="G5" s="91"/>
      <c r="H5" s="6">
        <v>10</v>
      </c>
      <c r="J5" s="143">
        <v>0</v>
      </c>
      <c r="K5" s="144">
        <v>51</v>
      </c>
      <c r="L5" s="144">
        <v>19</v>
      </c>
      <c r="M5" s="96"/>
      <c r="N5" s="145">
        <v>0.21319444444444444</v>
      </c>
    </row>
    <row r="6" spans="1:14" s="6" customFormat="1" x14ac:dyDescent="0.25">
      <c r="A6" s="6">
        <v>3</v>
      </c>
      <c r="C6" s="92">
        <v>40682</v>
      </c>
      <c r="D6" s="6" t="s">
        <v>135</v>
      </c>
      <c r="E6" s="6" t="s">
        <v>118</v>
      </c>
      <c r="F6" s="6">
        <v>75</v>
      </c>
      <c r="G6" s="91"/>
      <c r="H6" s="6">
        <v>7.4</v>
      </c>
      <c r="J6" s="143">
        <v>0</v>
      </c>
      <c r="K6" s="144">
        <v>35</v>
      </c>
      <c r="L6" s="144">
        <v>35</v>
      </c>
      <c r="M6" s="96"/>
      <c r="N6" s="145">
        <v>0.1986111111111111</v>
      </c>
    </row>
    <row r="7" spans="1:14" s="6" customFormat="1" x14ac:dyDescent="0.25">
      <c r="A7" s="6">
        <v>4</v>
      </c>
      <c r="C7" s="92">
        <v>40692</v>
      </c>
      <c r="D7" s="6" t="s">
        <v>130</v>
      </c>
      <c r="E7" s="6" t="s">
        <v>126</v>
      </c>
      <c r="F7" s="6">
        <v>120</v>
      </c>
      <c r="G7" s="91"/>
      <c r="H7" s="6">
        <v>10.8</v>
      </c>
      <c r="J7" s="143">
        <v>0</v>
      </c>
      <c r="K7" s="144">
        <v>53</v>
      </c>
      <c r="L7" s="144">
        <v>12</v>
      </c>
      <c r="M7" s="96"/>
      <c r="N7" s="145">
        <v>0.21249999999999999</v>
      </c>
    </row>
    <row r="8" spans="1:14" s="6" customFormat="1" x14ac:dyDescent="0.25">
      <c r="A8" s="6">
        <v>5</v>
      </c>
      <c r="C8" s="92">
        <v>40698</v>
      </c>
      <c r="D8" s="6" t="s">
        <v>140</v>
      </c>
      <c r="E8" s="6" t="s">
        <v>141</v>
      </c>
      <c r="F8" s="6">
        <v>100</v>
      </c>
      <c r="G8" s="91"/>
      <c r="H8" s="6">
        <v>10.5</v>
      </c>
      <c r="J8" s="143">
        <v>0</v>
      </c>
      <c r="K8" s="144">
        <v>51</v>
      </c>
      <c r="L8" s="144">
        <v>47</v>
      </c>
      <c r="M8" s="96"/>
      <c r="N8" s="145">
        <v>0.20833333333333334</v>
      </c>
    </row>
    <row r="9" spans="1:14" s="6" customFormat="1" x14ac:dyDescent="0.25">
      <c r="A9" s="6">
        <v>6</v>
      </c>
      <c r="C9" s="92">
        <v>40774</v>
      </c>
      <c r="D9" s="6" t="s">
        <v>125</v>
      </c>
      <c r="E9" s="6" t="s">
        <v>126</v>
      </c>
      <c r="F9" s="6">
        <v>75</v>
      </c>
      <c r="G9" s="91"/>
      <c r="H9" s="6">
        <v>6</v>
      </c>
      <c r="J9" s="143">
        <v>0</v>
      </c>
      <c r="K9" s="144">
        <v>28</v>
      </c>
      <c r="L9" s="144">
        <v>19</v>
      </c>
      <c r="M9" s="96"/>
      <c r="N9" s="145">
        <v>0.20069444444444443</v>
      </c>
    </row>
    <row r="10" spans="1:14" s="6" customFormat="1" x14ac:dyDescent="0.25">
      <c r="A10" s="6">
        <v>7</v>
      </c>
      <c r="C10" s="92">
        <v>40782</v>
      </c>
      <c r="D10" s="6" t="s">
        <v>117</v>
      </c>
      <c r="E10" s="6" t="s">
        <v>118</v>
      </c>
      <c r="F10" s="6">
        <v>0</v>
      </c>
      <c r="G10" s="91"/>
      <c r="H10" s="6">
        <v>21.097000000000001</v>
      </c>
      <c r="J10" s="143">
        <v>1</v>
      </c>
      <c r="K10" s="144">
        <v>48</v>
      </c>
      <c r="L10" s="144">
        <v>47</v>
      </c>
      <c r="M10" s="96"/>
      <c r="N10" s="145">
        <v>0.21527777777777779</v>
      </c>
    </row>
    <row r="11" spans="1:14" s="6" customFormat="1" x14ac:dyDescent="0.25">
      <c r="A11" s="6">
        <v>8</v>
      </c>
      <c r="C11" s="92">
        <v>40797</v>
      </c>
      <c r="D11" s="6" t="s">
        <v>138</v>
      </c>
      <c r="E11" s="6" t="s">
        <v>139</v>
      </c>
      <c r="F11" s="6">
        <v>120</v>
      </c>
      <c r="G11" s="91"/>
      <c r="H11" s="6">
        <v>10.199999999999999</v>
      </c>
      <c r="J11" s="143">
        <v>0</v>
      </c>
      <c r="K11" s="144">
        <v>52</v>
      </c>
      <c r="L11" s="144">
        <v>28</v>
      </c>
      <c r="M11" s="96"/>
      <c r="N11" s="145">
        <v>0.21388888888888891</v>
      </c>
    </row>
    <row r="12" spans="1:14" s="6" customFormat="1" ht="15.75" thickBot="1" x14ac:dyDescent="0.3">
      <c r="A12" s="6">
        <v>9</v>
      </c>
      <c r="C12" s="150">
        <v>40908</v>
      </c>
      <c r="D12" s="151" t="s">
        <v>133</v>
      </c>
      <c r="E12" s="151" t="s">
        <v>123</v>
      </c>
      <c r="F12" s="151">
        <v>185</v>
      </c>
      <c r="G12" s="163">
        <f>SUM(F5:F12)</f>
        <v>750</v>
      </c>
      <c r="H12" s="151">
        <v>10</v>
      </c>
      <c r="I12" s="151">
        <f>SUM(H5:H12)</f>
        <v>85.997</v>
      </c>
      <c r="J12" s="140">
        <v>0</v>
      </c>
      <c r="K12" s="142">
        <v>48</v>
      </c>
      <c r="L12" s="142">
        <v>12</v>
      </c>
      <c r="M12" s="142"/>
      <c r="N12" s="152">
        <v>0.20208333333333331</v>
      </c>
    </row>
    <row r="13" spans="1:14" s="6" customFormat="1" x14ac:dyDescent="0.25">
      <c r="A13" s="6">
        <v>10</v>
      </c>
      <c r="C13" s="92">
        <v>40992</v>
      </c>
      <c r="D13" s="6" t="s">
        <v>136</v>
      </c>
      <c r="E13" s="6" t="s">
        <v>137</v>
      </c>
      <c r="F13" s="6">
        <v>200</v>
      </c>
      <c r="G13" s="91"/>
      <c r="H13" s="6">
        <v>21.097000000000001</v>
      </c>
      <c r="J13" s="143">
        <v>1</v>
      </c>
      <c r="K13" s="144">
        <v>41</v>
      </c>
      <c r="L13" s="144">
        <v>13</v>
      </c>
      <c r="M13" s="96"/>
      <c r="N13" s="145">
        <v>0.19930555555555554</v>
      </c>
    </row>
    <row r="14" spans="1:14" s="6" customFormat="1" x14ac:dyDescent="0.25">
      <c r="A14" s="6">
        <v>11</v>
      </c>
      <c r="C14" s="92">
        <v>41032</v>
      </c>
      <c r="D14" s="6" t="s">
        <v>135</v>
      </c>
      <c r="E14" s="6" t="s">
        <v>118</v>
      </c>
      <c r="F14" s="6">
        <v>75</v>
      </c>
      <c r="G14" s="91"/>
      <c r="H14" s="6">
        <v>7.4</v>
      </c>
      <c r="J14" s="143">
        <v>0</v>
      </c>
      <c r="K14" s="144">
        <v>33</v>
      </c>
      <c r="L14" s="144">
        <v>13</v>
      </c>
      <c r="M14" s="96"/>
      <c r="N14" s="145">
        <v>0.18611111111111112</v>
      </c>
    </row>
    <row r="15" spans="1:14" s="6" customFormat="1" x14ac:dyDescent="0.25">
      <c r="A15" s="6">
        <v>12</v>
      </c>
      <c r="C15" s="92">
        <v>41034</v>
      </c>
      <c r="D15" s="6" t="s">
        <v>131</v>
      </c>
      <c r="E15" s="6" t="s">
        <v>132</v>
      </c>
      <c r="F15" s="6">
        <v>380</v>
      </c>
      <c r="G15" s="91"/>
      <c r="H15" s="6">
        <v>21.097000000000001</v>
      </c>
      <c r="J15" s="143">
        <v>1</v>
      </c>
      <c r="K15" s="144">
        <v>36</v>
      </c>
      <c r="L15" s="144">
        <v>39</v>
      </c>
      <c r="M15" s="96"/>
      <c r="N15" s="145">
        <v>0.18888888888888888</v>
      </c>
    </row>
    <row r="16" spans="1:14" s="6" customFormat="1" x14ac:dyDescent="0.25">
      <c r="A16" s="6">
        <v>13</v>
      </c>
      <c r="C16" s="92">
        <v>41049</v>
      </c>
      <c r="D16" s="6" t="s">
        <v>73</v>
      </c>
      <c r="E16" s="6" t="s">
        <v>74</v>
      </c>
      <c r="F16" s="6">
        <v>400</v>
      </c>
      <c r="G16" s="91"/>
      <c r="H16" s="6">
        <v>42.195</v>
      </c>
      <c r="J16" s="136">
        <v>3</v>
      </c>
      <c r="K16" s="96">
        <v>54</v>
      </c>
      <c r="L16" s="96">
        <v>42</v>
      </c>
      <c r="M16" s="96"/>
      <c r="N16" s="145">
        <v>0.23055555555555554</v>
      </c>
    </row>
    <row r="17" spans="1:14" s="6" customFormat="1" x14ac:dyDescent="0.25">
      <c r="A17" s="6">
        <v>14</v>
      </c>
      <c r="C17" s="92">
        <v>41056</v>
      </c>
      <c r="D17" s="6" t="s">
        <v>130</v>
      </c>
      <c r="E17" s="6" t="s">
        <v>126</v>
      </c>
      <c r="F17" s="6">
        <v>120</v>
      </c>
      <c r="G17" s="91"/>
      <c r="H17" s="6">
        <v>10.8</v>
      </c>
      <c r="J17" s="136">
        <v>0</v>
      </c>
      <c r="K17" s="96">
        <v>48</v>
      </c>
      <c r="L17" s="96">
        <v>53</v>
      </c>
      <c r="M17" s="96"/>
      <c r="N17" s="145">
        <v>0.19513888888888889</v>
      </c>
    </row>
    <row r="18" spans="1:14" s="6" customFormat="1" x14ac:dyDescent="0.25">
      <c r="A18" s="6">
        <v>15</v>
      </c>
      <c r="C18" s="92">
        <v>41062</v>
      </c>
      <c r="D18" s="6" t="s">
        <v>134</v>
      </c>
      <c r="E18" s="6" t="s">
        <v>126</v>
      </c>
      <c r="F18" s="6">
        <v>0</v>
      </c>
      <c r="G18" s="91"/>
      <c r="H18" s="6">
        <v>5</v>
      </c>
      <c r="J18" s="136">
        <v>0</v>
      </c>
      <c r="K18" s="96">
        <v>20</v>
      </c>
      <c r="L18" s="96">
        <v>28</v>
      </c>
      <c r="M18" s="96"/>
      <c r="N18" s="145">
        <v>0.17291666666666669</v>
      </c>
    </row>
    <row r="19" spans="1:14" s="6" customFormat="1" x14ac:dyDescent="0.25">
      <c r="A19" s="6">
        <v>16</v>
      </c>
      <c r="C19" s="92">
        <v>41145</v>
      </c>
      <c r="D19" s="6" t="s">
        <v>125</v>
      </c>
      <c r="E19" s="6" t="s">
        <v>126</v>
      </c>
      <c r="F19" s="6">
        <v>0</v>
      </c>
      <c r="G19" s="91"/>
      <c r="H19" s="6">
        <v>6</v>
      </c>
      <c r="J19" s="136">
        <v>0</v>
      </c>
      <c r="K19" s="96">
        <v>31</v>
      </c>
      <c r="L19" s="96">
        <v>28</v>
      </c>
      <c r="M19" s="96"/>
      <c r="N19" s="145">
        <v>0.22083333333333333</v>
      </c>
    </row>
    <row r="20" spans="1:14" s="6" customFormat="1" x14ac:dyDescent="0.25">
      <c r="A20" s="6">
        <v>17</v>
      </c>
      <c r="C20" s="92">
        <v>41146</v>
      </c>
      <c r="D20" s="6" t="s">
        <v>117</v>
      </c>
      <c r="E20" s="6" t="s">
        <v>118</v>
      </c>
      <c r="F20" s="6">
        <v>0</v>
      </c>
      <c r="G20" s="91"/>
      <c r="H20" s="6">
        <v>21.097000000000001</v>
      </c>
      <c r="J20" s="136">
        <v>1</v>
      </c>
      <c r="K20" s="96">
        <v>36</v>
      </c>
      <c r="L20" s="96">
        <v>30</v>
      </c>
      <c r="M20" s="96"/>
      <c r="N20" s="145">
        <v>0.19097222222222221</v>
      </c>
    </row>
    <row r="21" spans="1:14" s="6" customFormat="1" x14ac:dyDescent="0.25">
      <c r="A21" s="6">
        <v>18</v>
      </c>
      <c r="C21" s="92">
        <v>41175</v>
      </c>
      <c r="D21" s="6" t="s">
        <v>122</v>
      </c>
      <c r="E21" s="6" t="s">
        <v>123</v>
      </c>
      <c r="F21" s="6">
        <v>595</v>
      </c>
      <c r="G21" s="91"/>
      <c r="H21" s="6">
        <v>42.195</v>
      </c>
      <c r="J21" s="136">
        <v>3</v>
      </c>
      <c r="K21" s="96">
        <v>28</v>
      </c>
      <c r="L21" s="96">
        <v>0</v>
      </c>
      <c r="M21" s="96"/>
      <c r="N21" s="145">
        <v>0.20416666666666669</v>
      </c>
    </row>
    <row r="22" spans="1:14" s="6" customFormat="1" ht="15.75" thickBot="1" x14ac:dyDescent="0.3">
      <c r="A22" s="6">
        <v>19</v>
      </c>
      <c r="C22" s="150">
        <v>41274</v>
      </c>
      <c r="D22" s="151" t="s">
        <v>133</v>
      </c>
      <c r="E22" s="151" t="s">
        <v>123</v>
      </c>
      <c r="F22" s="151">
        <v>185</v>
      </c>
      <c r="G22" s="163">
        <f>SUM(F13:F22)</f>
        <v>1955</v>
      </c>
      <c r="H22" s="151">
        <v>5</v>
      </c>
      <c r="I22" s="151">
        <f>SUM(H13:H22)</f>
        <v>181.881</v>
      </c>
      <c r="J22" s="140">
        <v>0</v>
      </c>
      <c r="K22" s="142">
        <v>21</v>
      </c>
      <c r="L22" s="142">
        <v>3</v>
      </c>
      <c r="M22" s="142"/>
      <c r="N22" s="152">
        <v>0.17569444444444446</v>
      </c>
    </row>
    <row r="23" spans="1:14" s="9" customFormat="1" x14ac:dyDescent="0.25">
      <c r="A23" s="6">
        <v>20</v>
      </c>
      <c r="B23" s="6"/>
      <c r="C23" s="107">
        <v>41294</v>
      </c>
      <c r="D23" s="106" t="s">
        <v>63</v>
      </c>
      <c r="E23" s="106" t="s">
        <v>64</v>
      </c>
      <c r="F23" s="108">
        <v>312.5</v>
      </c>
      <c r="G23" s="108"/>
      <c r="H23" s="6">
        <v>42.195</v>
      </c>
      <c r="I23" s="101"/>
      <c r="J23" s="137">
        <v>3</v>
      </c>
      <c r="K23" s="95">
        <v>40</v>
      </c>
      <c r="L23" s="95">
        <v>20</v>
      </c>
      <c r="M23" s="95"/>
      <c r="N23" s="145">
        <v>0.21666666666666667</v>
      </c>
    </row>
    <row r="24" spans="1:14" s="6" customFormat="1" x14ac:dyDescent="0.25">
      <c r="A24" s="6">
        <v>21</v>
      </c>
      <c r="C24" s="92">
        <v>41328</v>
      </c>
      <c r="D24" s="6" t="s">
        <v>68</v>
      </c>
      <c r="E24" s="6" t="s">
        <v>69</v>
      </c>
      <c r="F24" s="91">
        <v>170</v>
      </c>
      <c r="G24" s="91"/>
      <c r="H24" s="6">
        <v>42.195</v>
      </c>
      <c r="J24" s="137">
        <v>3</v>
      </c>
      <c r="K24" s="95">
        <v>39</v>
      </c>
      <c r="L24" s="95">
        <v>13</v>
      </c>
      <c r="M24" s="95"/>
      <c r="N24" s="145">
        <v>0.21527777777777779</v>
      </c>
    </row>
    <row r="25" spans="1:14" s="6" customFormat="1" x14ac:dyDescent="0.25">
      <c r="A25" s="6">
        <v>22</v>
      </c>
      <c r="C25" s="92">
        <v>41350</v>
      </c>
      <c r="D25" s="6" t="s">
        <v>83</v>
      </c>
      <c r="E25" s="6" t="s">
        <v>84</v>
      </c>
      <c r="F25" s="91">
        <v>225</v>
      </c>
      <c r="G25" s="91"/>
      <c r="H25" s="6">
        <v>42.195</v>
      </c>
      <c r="J25" s="137">
        <v>3</v>
      </c>
      <c r="K25" s="95">
        <v>54</v>
      </c>
      <c r="L25" s="95">
        <v>9</v>
      </c>
      <c r="M25" s="103"/>
      <c r="N25" s="145">
        <v>0.22916666666666666</v>
      </c>
    </row>
    <row r="26" spans="1:14" s="6" customFormat="1" x14ac:dyDescent="0.25">
      <c r="A26" s="6">
        <v>23</v>
      </c>
      <c r="C26" s="92">
        <v>41385</v>
      </c>
      <c r="D26" s="6" t="s">
        <v>70</v>
      </c>
      <c r="E26" s="6" t="s">
        <v>71</v>
      </c>
      <c r="F26" s="91">
        <v>650</v>
      </c>
      <c r="G26" s="91"/>
      <c r="H26" s="6">
        <v>42.195</v>
      </c>
      <c r="J26" s="137">
        <v>3</v>
      </c>
      <c r="K26" s="95">
        <v>37</v>
      </c>
      <c r="L26" s="95">
        <v>4</v>
      </c>
      <c r="M26" s="95"/>
      <c r="N26" s="145">
        <v>0.21249999999999999</v>
      </c>
    </row>
    <row r="27" spans="1:14" s="6" customFormat="1" x14ac:dyDescent="0.25">
      <c r="A27" s="6">
        <v>24</v>
      </c>
      <c r="C27" s="92">
        <v>41398</v>
      </c>
      <c r="D27" s="6" t="s">
        <v>131</v>
      </c>
      <c r="E27" s="6" t="s">
        <v>132</v>
      </c>
      <c r="F27" s="91">
        <v>0</v>
      </c>
      <c r="G27" s="91"/>
      <c r="H27" s="6">
        <v>21.097000000000001</v>
      </c>
      <c r="J27" s="137">
        <v>1</v>
      </c>
      <c r="K27" s="95">
        <v>38</v>
      </c>
      <c r="L27" s="95">
        <v>59</v>
      </c>
      <c r="M27" s="95"/>
      <c r="N27" s="145">
        <v>0.19375000000000001</v>
      </c>
    </row>
    <row r="28" spans="1:14" s="6" customFormat="1" x14ac:dyDescent="0.25">
      <c r="A28" s="6">
        <v>25</v>
      </c>
      <c r="C28" s="92">
        <v>41413</v>
      </c>
      <c r="D28" s="6" t="s">
        <v>73</v>
      </c>
      <c r="E28" s="6" t="s">
        <v>74</v>
      </c>
      <c r="F28" s="91">
        <v>400</v>
      </c>
      <c r="G28" s="91"/>
      <c r="H28" s="6">
        <v>42.195</v>
      </c>
      <c r="J28" s="137">
        <v>3</v>
      </c>
      <c r="K28" s="95">
        <v>23</v>
      </c>
      <c r="L28" s="95">
        <v>22</v>
      </c>
      <c r="M28" s="110"/>
      <c r="N28" s="145">
        <v>0.1986111111111111</v>
      </c>
    </row>
    <row r="29" spans="1:14" s="6" customFormat="1" x14ac:dyDescent="0.25">
      <c r="A29" s="6">
        <v>26</v>
      </c>
      <c r="C29" s="92">
        <v>41420</v>
      </c>
      <c r="D29" s="6" t="s">
        <v>130</v>
      </c>
      <c r="E29" s="6" t="s">
        <v>126</v>
      </c>
      <c r="F29" s="91">
        <v>120</v>
      </c>
      <c r="G29" s="91"/>
      <c r="H29" s="6">
        <v>10.8</v>
      </c>
      <c r="J29" s="137">
        <v>0</v>
      </c>
      <c r="K29" s="95">
        <v>44</v>
      </c>
      <c r="L29" s="95">
        <v>26</v>
      </c>
      <c r="M29" s="110"/>
      <c r="N29" s="145">
        <v>0.17777777777777778</v>
      </c>
    </row>
    <row r="30" spans="1:14" s="6" customFormat="1" x14ac:dyDescent="0.25">
      <c r="A30" s="6">
        <v>27</v>
      </c>
      <c r="C30" s="92">
        <v>41425</v>
      </c>
      <c r="D30" s="6" t="s">
        <v>128</v>
      </c>
      <c r="E30" s="6" t="s">
        <v>129</v>
      </c>
      <c r="F30" s="91">
        <v>75</v>
      </c>
      <c r="G30" s="91"/>
      <c r="H30" s="6">
        <v>12</v>
      </c>
      <c r="J30" s="137">
        <v>0</v>
      </c>
      <c r="K30" s="95">
        <v>50</v>
      </c>
      <c r="L30" s="95">
        <v>10</v>
      </c>
      <c r="M30" s="110"/>
      <c r="N30" s="145">
        <v>0.17291666666666669</v>
      </c>
    </row>
    <row r="31" spans="1:14" s="6" customFormat="1" x14ac:dyDescent="0.25">
      <c r="A31" s="6">
        <v>28</v>
      </c>
      <c r="C31" s="92">
        <v>41440</v>
      </c>
      <c r="D31" s="6" t="s">
        <v>90</v>
      </c>
      <c r="E31" s="6" t="s">
        <v>91</v>
      </c>
      <c r="F31" s="91">
        <f>28*7.45</f>
        <v>208.6</v>
      </c>
      <c r="G31" s="91"/>
      <c r="H31" s="6">
        <v>42.195</v>
      </c>
      <c r="J31" s="137">
        <v>3</v>
      </c>
      <c r="K31" s="95">
        <v>32</v>
      </c>
      <c r="L31" s="95">
        <v>34</v>
      </c>
      <c r="M31" s="95"/>
      <c r="N31" s="145">
        <v>0.21111111111111111</v>
      </c>
    </row>
    <row r="32" spans="1:14" s="6" customFormat="1" x14ac:dyDescent="0.25">
      <c r="A32" s="6">
        <v>29</v>
      </c>
      <c r="C32" s="92">
        <v>41467</v>
      </c>
      <c r="D32" s="6" t="s">
        <v>88</v>
      </c>
      <c r="E32" s="6" t="s">
        <v>89</v>
      </c>
      <c r="F32" s="91">
        <v>70</v>
      </c>
      <c r="G32" s="91"/>
      <c r="H32" s="6">
        <v>42.195</v>
      </c>
      <c r="J32" s="137">
        <v>3</v>
      </c>
      <c r="K32" s="95">
        <v>26</v>
      </c>
      <c r="L32" s="95">
        <v>12</v>
      </c>
      <c r="M32" s="95"/>
      <c r="N32" s="145">
        <v>0.20347222222222219</v>
      </c>
    </row>
    <row r="33" spans="1:14" s="6" customFormat="1" x14ac:dyDescent="0.25">
      <c r="A33" s="6">
        <v>30</v>
      </c>
      <c r="C33" s="92">
        <v>41503</v>
      </c>
      <c r="D33" s="6" t="s">
        <v>110</v>
      </c>
      <c r="E33" s="6" t="s">
        <v>111</v>
      </c>
      <c r="F33" s="91">
        <v>300</v>
      </c>
      <c r="G33" s="91"/>
      <c r="H33" s="6">
        <v>42.195</v>
      </c>
      <c r="J33" s="137">
        <v>3</v>
      </c>
      <c r="K33" s="95">
        <v>21</v>
      </c>
      <c r="L33" s="95">
        <v>54</v>
      </c>
      <c r="M33" s="95"/>
      <c r="N33" s="145">
        <v>0.19930555555555554</v>
      </c>
    </row>
    <row r="34" spans="1:14" s="6" customFormat="1" x14ac:dyDescent="0.25">
      <c r="A34" s="6">
        <v>31</v>
      </c>
      <c r="C34" s="92">
        <v>41510</v>
      </c>
      <c r="D34" s="6" t="s">
        <v>125</v>
      </c>
      <c r="E34" s="6" t="s">
        <v>126</v>
      </c>
      <c r="F34" s="91">
        <v>0</v>
      </c>
      <c r="G34" s="91"/>
      <c r="H34" s="6">
        <v>6</v>
      </c>
      <c r="J34" s="137">
        <v>0</v>
      </c>
      <c r="K34" s="95">
        <v>23</v>
      </c>
      <c r="L34" s="95">
        <v>25</v>
      </c>
      <c r="M34" s="95"/>
      <c r="N34" s="145">
        <v>0.1673611111111111</v>
      </c>
    </row>
    <row r="35" spans="1:14" s="6" customFormat="1" x14ac:dyDescent="0.25">
      <c r="A35" s="6">
        <v>32</v>
      </c>
      <c r="C35" s="92">
        <v>41517</v>
      </c>
      <c r="D35" s="6" t="s">
        <v>117</v>
      </c>
      <c r="E35" s="6" t="s">
        <v>118</v>
      </c>
      <c r="F35" s="91">
        <v>0</v>
      </c>
      <c r="G35" s="91"/>
      <c r="H35" s="6">
        <v>42.195</v>
      </c>
      <c r="J35" s="137">
        <v>3</v>
      </c>
      <c r="K35" s="95">
        <v>14</v>
      </c>
      <c r="L35" s="95">
        <v>57</v>
      </c>
      <c r="M35" s="95"/>
      <c r="N35" s="145">
        <v>0.19375000000000001</v>
      </c>
    </row>
    <row r="36" spans="1:14" s="6" customFormat="1" x14ac:dyDescent="0.25">
      <c r="A36" s="6">
        <v>33</v>
      </c>
      <c r="C36" s="92">
        <v>41525</v>
      </c>
      <c r="D36" s="6" t="s">
        <v>138</v>
      </c>
      <c r="E36" s="6" t="s">
        <v>139</v>
      </c>
      <c r="F36" s="91">
        <v>125</v>
      </c>
      <c r="G36" s="91"/>
      <c r="H36" s="6">
        <v>10.3</v>
      </c>
      <c r="J36" s="137">
        <v>0</v>
      </c>
      <c r="K36" s="95">
        <v>41</v>
      </c>
      <c r="L36" s="95">
        <v>10</v>
      </c>
      <c r="M36" s="95"/>
      <c r="N36" s="145">
        <v>0.16805555555555554</v>
      </c>
    </row>
    <row r="37" spans="1:14" s="6" customFormat="1" x14ac:dyDescent="0.25">
      <c r="A37" s="6">
        <v>34</v>
      </c>
      <c r="C37" s="92">
        <v>41546</v>
      </c>
      <c r="D37" s="6" t="s">
        <v>112</v>
      </c>
      <c r="E37" s="6" t="s">
        <v>113</v>
      </c>
      <c r="F37" s="91">
        <v>0</v>
      </c>
      <c r="G37" s="91"/>
      <c r="H37" s="6">
        <v>42.195</v>
      </c>
      <c r="J37" s="137">
        <v>3</v>
      </c>
      <c r="K37" s="95">
        <v>7</v>
      </c>
      <c r="L37" s="95">
        <v>28</v>
      </c>
      <c r="M37" s="95"/>
      <c r="N37" s="145">
        <v>0.1875</v>
      </c>
    </row>
    <row r="38" spans="1:14" s="6" customFormat="1" x14ac:dyDescent="0.25">
      <c r="A38" s="6">
        <v>35</v>
      </c>
      <c r="C38" s="92">
        <v>41566</v>
      </c>
      <c r="D38" s="6" t="s">
        <v>145</v>
      </c>
      <c r="E38" s="6" t="s">
        <v>137</v>
      </c>
      <c r="F38" s="91">
        <v>75</v>
      </c>
      <c r="G38" s="91"/>
      <c r="H38" s="6">
        <v>12</v>
      </c>
      <c r="J38" s="137">
        <v>0</v>
      </c>
      <c r="K38" s="95">
        <v>47</v>
      </c>
      <c r="L38" s="95">
        <v>54</v>
      </c>
      <c r="M38" s="95"/>
      <c r="N38" s="145">
        <v>0.16527777777777777</v>
      </c>
    </row>
    <row r="39" spans="1:14" x14ac:dyDescent="0.25">
      <c r="A39" s="6">
        <v>36</v>
      </c>
      <c r="B39" s="6"/>
      <c r="C39" s="92">
        <v>41574</v>
      </c>
      <c r="D39" s="6" t="s">
        <v>85</v>
      </c>
      <c r="E39" s="6" t="s">
        <v>86</v>
      </c>
      <c r="F39" s="91">
        <v>745</v>
      </c>
      <c r="G39" s="91"/>
      <c r="H39" s="6">
        <v>42.195</v>
      </c>
      <c r="J39" s="137">
        <v>3</v>
      </c>
      <c r="K39" s="95">
        <v>4</v>
      </c>
      <c r="L39" s="95">
        <v>9</v>
      </c>
      <c r="M39" s="95"/>
      <c r="N39" s="145">
        <v>0.18194444444444444</v>
      </c>
    </row>
    <row r="40" spans="1:14" x14ac:dyDescent="0.25">
      <c r="A40" s="6">
        <v>37</v>
      </c>
      <c r="B40" s="6"/>
      <c r="C40" s="92">
        <v>41595</v>
      </c>
      <c r="D40" s="6" t="s">
        <v>124</v>
      </c>
      <c r="E40" s="6" t="s">
        <v>123</v>
      </c>
      <c r="F40" s="91">
        <v>100</v>
      </c>
      <c r="G40" s="91"/>
      <c r="H40" s="6">
        <v>42.195</v>
      </c>
      <c r="J40" s="137">
        <v>3</v>
      </c>
      <c r="K40" s="95">
        <v>14</v>
      </c>
      <c r="L40" s="95">
        <v>27</v>
      </c>
      <c r="M40" s="95"/>
      <c r="N40" s="145">
        <v>0.19305555555555554</v>
      </c>
    </row>
    <row r="41" spans="1:14" s="6" customFormat="1" x14ac:dyDescent="0.25">
      <c r="A41" s="6">
        <v>38</v>
      </c>
      <c r="C41" s="178">
        <v>41616</v>
      </c>
      <c r="D41" s="10" t="s">
        <v>115</v>
      </c>
      <c r="E41" s="10" t="s">
        <v>116</v>
      </c>
      <c r="F41" s="179">
        <f>40*7.45</f>
        <v>298</v>
      </c>
      <c r="G41" s="179"/>
      <c r="H41" s="10">
        <v>42.195</v>
      </c>
      <c r="I41" s="10"/>
      <c r="J41" s="180">
        <v>3</v>
      </c>
      <c r="K41" s="181">
        <v>3</v>
      </c>
      <c r="L41" s="181">
        <v>34</v>
      </c>
      <c r="M41" s="181"/>
      <c r="N41" s="182">
        <v>0.18124999999999999</v>
      </c>
    </row>
    <row r="42" spans="1:14" s="6" customFormat="1" ht="15.75" thickBot="1" x14ac:dyDescent="0.3">
      <c r="A42" s="6">
        <v>39</v>
      </c>
      <c r="C42" s="150">
        <v>42004</v>
      </c>
      <c r="D42" s="151" t="s">
        <v>133</v>
      </c>
      <c r="E42" s="151" t="s">
        <v>123</v>
      </c>
      <c r="F42" s="163">
        <v>185</v>
      </c>
      <c r="G42" s="163">
        <f>SUM(F23:F42)</f>
        <v>4059.1</v>
      </c>
      <c r="H42" s="151">
        <v>10</v>
      </c>
      <c r="I42" s="163">
        <f>SUM(H23:H42)</f>
        <v>630.73200000000008</v>
      </c>
      <c r="J42" s="164">
        <v>0</v>
      </c>
      <c r="K42" s="165">
        <v>46</v>
      </c>
      <c r="L42" s="165">
        <v>50</v>
      </c>
      <c r="M42" s="165"/>
      <c r="N42" s="152">
        <v>0.19583333333333333</v>
      </c>
    </row>
    <row r="43" spans="1:14" s="6" customFormat="1" x14ac:dyDescent="0.25">
      <c r="A43" s="6">
        <v>40</v>
      </c>
      <c r="C43" s="92">
        <v>41658</v>
      </c>
      <c r="D43" s="6" t="s">
        <v>63</v>
      </c>
      <c r="E43" s="6" t="s">
        <v>64</v>
      </c>
      <c r="F43" s="91">
        <v>312.5</v>
      </c>
      <c r="G43" s="91"/>
      <c r="H43" s="6">
        <v>42.195</v>
      </c>
      <c r="J43" s="137">
        <v>3</v>
      </c>
      <c r="K43" s="95">
        <v>10</v>
      </c>
      <c r="L43" s="95">
        <v>40</v>
      </c>
      <c r="M43" s="95"/>
      <c r="N43" s="145">
        <v>0.1875</v>
      </c>
    </row>
    <row r="44" spans="1:14" s="6" customFormat="1" x14ac:dyDescent="0.25">
      <c r="A44" s="6">
        <v>41</v>
      </c>
      <c r="C44" s="92">
        <v>41692</v>
      </c>
      <c r="D44" s="6" t="s">
        <v>68</v>
      </c>
      <c r="E44" s="6" t="s">
        <v>69</v>
      </c>
      <c r="F44" s="91">
        <v>188</v>
      </c>
      <c r="G44" s="91"/>
      <c r="H44" s="6">
        <v>42.195</v>
      </c>
      <c r="J44" s="137">
        <v>3</v>
      </c>
      <c r="K44" s="95">
        <v>10</v>
      </c>
      <c r="L44" s="95">
        <v>5</v>
      </c>
      <c r="M44" s="95"/>
      <c r="N44" s="145">
        <v>0.18680555555555556</v>
      </c>
    </row>
    <row r="45" spans="1:14" s="6" customFormat="1" x14ac:dyDescent="0.25">
      <c r="A45" s="6">
        <v>42</v>
      </c>
      <c r="C45" s="92">
        <v>41699</v>
      </c>
      <c r="D45" s="6" t="s">
        <v>160</v>
      </c>
      <c r="E45" s="6" t="s">
        <v>161</v>
      </c>
      <c r="F45" s="91">
        <v>100</v>
      </c>
      <c r="G45" s="91"/>
      <c r="H45" s="6">
        <v>42.195</v>
      </c>
      <c r="J45" s="137">
        <v>3</v>
      </c>
      <c r="K45" s="95">
        <v>14</v>
      </c>
      <c r="L45" s="95">
        <v>1</v>
      </c>
      <c r="M45" s="95"/>
      <c r="N45" s="145">
        <v>0.19236111111111112</v>
      </c>
    </row>
    <row r="46" spans="1:14" s="6" customFormat="1" x14ac:dyDescent="0.25">
      <c r="A46" s="6">
        <v>43</v>
      </c>
      <c r="C46" s="92">
        <v>41721</v>
      </c>
      <c r="D46" s="6" t="s">
        <v>88</v>
      </c>
      <c r="E46" s="6" t="s">
        <v>89</v>
      </c>
      <c r="F46" s="91">
        <v>70</v>
      </c>
      <c r="G46" s="91"/>
      <c r="H46" s="6">
        <v>42.195</v>
      </c>
      <c r="J46" s="137">
        <v>3</v>
      </c>
      <c r="K46" s="95">
        <v>19</v>
      </c>
      <c r="L46" s="95">
        <v>41</v>
      </c>
      <c r="M46" s="95"/>
      <c r="N46" s="145">
        <v>0.19722222222222222</v>
      </c>
    </row>
    <row r="47" spans="1:14" s="6" customFormat="1" x14ac:dyDescent="0.25">
      <c r="A47" s="6">
        <v>44</v>
      </c>
      <c r="C47" s="92">
        <v>41727</v>
      </c>
      <c r="D47" s="6" t="s">
        <v>163</v>
      </c>
      <c r="E47" s="6" t="s">
        <v>74</v>
      </c>
      <c r="F47" s="91">
        <v>600</v>
      </c>
      <c r="G47" s="91"/>
      <c r="H47" s="6">
        <v>21.097000000000001</v>
      </c>
      <c r="J47" s="137">
        <v>1</v>
      </c>
      <c r="K47" s="95">
        <v>27</v>
      </c>
      <c r="L47" s="95">
        <v>2</v>
      </c>
      <c r="M47" s="95"/>
      <c r="N47" s="145">
        <v>0.17083333333333331</v>
      </c>
    </row>
    <row r="48" spans="1:14" s="6" customFormat="1" x14ac:dyDescent="0.25">
      <c r="A48" s="6">
        <v>45</v>
      </c>
      <c r="C48" s="92">
        <v>41735</v>
      </c>
      <c r="D48" s="6" t="s">
        <v>164</v>
      </c>
      <c r="E48" s="6" t="s">
        <v>165</v>
      </c>
      <c r="F48" s="91">
        <v>100</v>
      </c>
      <c r="G48" s="91"/>
      <c r="H48" s="6">
        <v>42.195</v>
      </c>
      <c r="J48" s="137">
        <v>3</v>
      </c>
      <c r="K48" s="95">
        <v>15</v>
      </c>
      <c r="L48" s="95">
        <v>39</v>
      </c>
      <c r="M48" s="95"/>
      <c r="N48" s="145">
        <v>0.19722222222222222</v>
      </c>
    </row>
    <row r="49" spans="1:14" s="6" customFormat="1" x14ac:dyDescent="0.25">
      <c r="A49" s="6">
        <v>46</v>
      </c>
      <c r="C49" s="92">
        <v>41756</v>
      </c>
      <c r="D49" s="6" t="s">
        <v>167</v>
      </c>
      <c r="E49" s="6" t="s">
        <v>168</v>
      </c>
      <c r="F49" s="91">
        <v>0</v>
      </c>
      <c r="G49" s="91"/>
      <c r="H49" s="6">
        <v>42.195</v>
      </c>
      <c r="J49" s="137">
        <v>3</v>
      </c>
      <c r="K49" s="95">
        <v>0</v>
      </c>
      <c r="L49" s="95">
        <v>23</v>
      </c>
      <c r="M49" s="95"/>
      <c r="N49" s="145">
        <v>0.17777777777777778</v>
      </c>
    </row>
    <row r="50" spans="1:14" s="6" customFormat="1" x14ac:dyDescent="0.25">
      <c r="A50" s="6">
        <v>47</v>
      </c>
      <c r="C50" s="92">
        <v>41770</v>
      </c>
      <c r="D50" s="6" t="s">
        <v>142</v>
      </c>
      <c r="E50" s="6" t="s">
        <v>143</v>
      </c>
      <c r="F50" s="91">
        <v>83.6</v>
      </c>
      <c r="G50" s="91"/>
      <c r="H50" s="6">
        <v>10</v>
      </c>
      <c r="J50" s="137">
        <v>0</v>
      </c>
      <c r="K50" s="95">
        <v>40</v>
      </c>
      <c r="L50" s="95">
        <v>17</v>
      </c>
      <c r="M50" s="95"/>
      <c r="N50" s="145">
        <v>0.16805555555555554</v>
      </c>
    </row>
    <row r="51" spans="1:14" s="6" customFormat="1" x14ac:dyDescent="0.25">
      <c r="A51" s="6">
        <v>48</v>
      </c>
      <c r="C51" s="92">
        <v>41774</v>
      </c>
      <c r="D51" s="6" t="s">
        <v>135</v>
      </c>
      <c r="E51" s="6" t="s">
        <v>118</v>
      </c>
      <c r="F51" s="91">
        <v>68</v>
      </c>
      <c r="G51" s="91"/>
      <c r="H51" s="6">
        <v>7.5</v>
      </c>
      <c r="J51" s="137">
        <v>0</v>
      </c>
      <c r="K51" s="95">
        <v>29</v>
      </c>
      <c r="L51" s="95">
        <v>16</v>
      </c>
      <c r="M51" s="95"/>
      <c r="N51" s="145">
        <v>0.16527777777777777</v>
      </c>
    </row>
    <row r="52" spans="1:14" s="6" customFormat="1" x14ac:dyDescent="0.25">
      <c r="A52" s="6">
        <v>49</v>
      </c>
      <c r="C52" s="92">
        <v>41777</v>
      </c>
      <c r="D52" s="6" t="s">
        <v>73</v>
      </c>
      <c r="E52" s="6" t="s">
        <v>74</v>
      </c>
      <c r="F52" s="91">
        <v>0</v>
      </c>
      <c r="G52" s="91"/>
      <c r="H52" s="6">
        <v>42.195</v>
      </c>
      <c r="J52" s="137">
        <v>2</v>
      </c>
      <c r="K52" s="95">
        <v>59</v>
      </c>
      <c r="L52" s="95">
        <v>17</v>
      </c>
      <c r="M52" s="95"/>
      <c r="N52" s="145">
        <v>0.1763888888888889</v>
      </c>
    </row>
    <row r="53" spans="1:14" s="6" customFormat="1" x14ac:dyDescent="0.25">
      <c r="A53" s="6">
        <v>50</v>
      </c>
      <c r="C53" s="92">
        <v>41784</v>
      </c>
      <c r="D53" s="6" t="s">
        <v>130</v>
      </c>
      <c r="E53" s="6" t="s">
        <v>126</v>
      </c>
      <c r="F53" s="91">
        <v>142.5</v>
      </c>
      <c r="G53" s="91"/>
      <c r="H53" s="6">
        <v>10.8</v>
      </c>
      <c r="J53" s="137">
        <v>0</v>
      </c>
      <c r="K53" s="95">
        <v>40</v>
      </c>
      <c r="L53" s="95">
        <v>46</v>
      </c>
      <c r="M53" s="95"/>
      <c r="N53" s="145">
        <v>0.17083333333333331</v>
      </c>
    </row>
    <row r="54" spans="1:14" s="6" customFormat="1" x14ac:dyDescent="0.25">
      <c r="A54" s="6">
        <v>51</v>
      </c>
      <c r="C54" s="92">
        <v>41790</v>
      </c>
      <c r="D54" s="6" t="s">
        <v>170</v>
      </c>
      <c r="E54" s="6" t="s">
        <v>171</v>
      </c>
      <c r="F54" s="91">
        <v>200</v>
      </c>
      <c r="G54" s="91"/>
      <c r="H54" s="6">
        <v>42.195</v>
      </c>
      <c r="J54" s="137">
        <v>3</v>
      </c>
      <c r="K54" s="95">
        <v>4</v>
      </c>
      <c r="L54" s="95">
        <v>51</v>
      </c>
      <c r="M54" s="95"/>
      <c r="N54" s="145">
        <v>0.18333333333333335</v>
      </c>
    </row>
    <row r="55" spans="1:14" s="6" customFormat="1" x14ac:dyDescent="0.25">
      <c r="A55" s="6">
        <v>52</v>
      </c>
      <c r="C55" s="92">
        <v>41804</v>
      </c>
      <c r="D55" s="6" t="s">
        <v>172</v>
      </c>
      <c r="E55" s="6" t="s">
        <v>173</v>
      </c>
      <c r="F55" s="91">
        <v>275</v>
      </c>
      <c r="G55" s="91"/>
      <c r="H55" s="6">
        <v>58</v>
      </c>
      <c r="J55" s="137">
        <v>5</v>
      </c>
      <c r="K55" s="95">
        <v>33</v>
      </c>
      <c r="L55" s="95">
        <v>46</v>
      </c>
      <c r="M55" s="95"/>
      <c r="N55" s="145">
        <v>0.23055555555555554</v>
      </c>
    </row>
    <row r="56" spans="1:14" s="6" customFormat="1" x14ac:dyDescent="0.25">
      <c r="A56" s="6">
        <v>53</v>
      </c>
      <c r="C56" s="92">
        <v>41811</v>
      </c>
      <c r="D56" s="6" t="s">
        <v>174</v>
      </c>
      <c r="E56" s="6" t="s">
        <v>175</v>
      </c>
      <c r="F56" s="91">
        <v>212</v>
      </c>
      <c r="G56" s="91"/>
      <c r="H56" s="6">
        <v>21.097000000000001</v>
      </c>
      <c r="J56" s="137">
        <v>1</v>
      </c>
      <c r="K56" s="95">
        <v>27</v>
      </c>
      <c r="L56" s="95">
        <v>16</v>
      </c>
      <c r="M56" s="95"/>
      <c r="N56" s="145">
        <v>0.17222222222222225</v>
      </c>
    </row>
    <row r="57" spans="1:14" s="6" customFormat="1" x14ac:dyDescent="0.25">
      <c r="A57" s="6">
        <v>54</v>
      </c>
      <c r="C57" s="92">
        <v>41826</v>
      </c>
      <c r="D57" s="6" t="s">
        <v>180</v>
      </c>
      <c r="E57" s="6" t="s">
        <v>181</v>
      </c>
      <c r="F57" s="91">
        <v>132</v>
      </c>
      <c r="G57" s="91"/>
      <c r="H57" s="6">
        <v>42.195</v>
      </c>
      <c r="J57" s="137">
        <v>3</v>
      </c>
      <c r="K57" s="95">
        <v>18</v>
      </c>
      <c r="L57" s="95">
        <v>58</v>
      </c>
      <c r="M57" s="95"/>
      <c r="N57" s="145">
        <v>0.20069444444444443</v>
      </c>
    </row>
    <row r="58" spans="1:14" s="6" customFormat="1" x14ac:dyDescent="0.25">
      <c r="A58" s="6">
        <v>55</v>
      </c>
      <c r="C58" s="92">
        <v>41836</v>
      </c>
      <c r="D58" s="6" t="s">
        <v>176</v>
      </c>
      <c r="E58" s="6" t="s">
        <v>177</v>
      </c>
      <c r="F58" s="91">
        <v>50</v>
      </c>
      <c r="G58" s="91"/>
      <c r="H58" s="6">
        <v>42.195</v>
      </c>
      <c r="J58" s="137">
        <v>3</v>
      </c>
      <c r="K58" s="95">
        <v>27</v>
      </c>
      <c r="L58" s="95">
        <v>17</v>
      </c>
      <c r="M58" s="95"/>
      <c r="N58" s="145">
        <v>0.20416666666666669</v>
      </c>
    </row>
    <row r="59" spans="1:14" s="6" customFormat="1" x14ac:dyDescent="0.25">
      <c r="A59" s="6">
        <v>56</v>
      </c>
      <c r="C59" s="92">
        <v>41839</v>
      </c>
      <c r="D59" s="6" t="s">
        <v>178</v>
      </c>
      <c r="E59" s="6" t="s">
        <v>179</v>
      </c>
      <c r="F59" s="91">
        <v>98</v>
      </c>
      <c r="G59" s="91"/>
      <c r="H59" s="6">
        <v>42.195</v>
      </c>
      <c r="J59" s="137">
        <v>3</v>
      </c>
      <c r="K59" s="95">
        <v>39</v>
      </c>
      <c r="L59" s="95">
        <v>44</v>
      </c>
      <c r="M59" s="95"/>
      <c r="N59" s="145">
        <v>0.21944444444444444</v>
      </c>
    </row>
    <row r="60" spans="1:14" s="6" customFormat="1" x14ac:dyDescent="0.25">
      <c r="A60" s="6">
        <v>57</v>
      </c>
      <c r="C60" s="92">
        <v>41867</v>
      </c>
      <c r="D60" s="6" t="s">
        <v>188</v>
      </c>
      <c r="E60" s="6" t="s">
        <v>190</v>
      </c>
      <c r="F60" s="91">
        <v>412</v>
      </c>
      <c r="G60" s="91"/>
      <c r="H60" s="6">
        <v>42.195</v>
      </c>
      <c r="J60" s="137">
        <v>3</v>
      </c>
      <c r="K60" s="95">
        <v>12</v>
      </c>
      <c r="L60" s="95">
        <v>33</v>
      </c>
      <c r="M60" s="95"/>
      <c r="N60" s="145">
        <v>0.19027777777777777</v>
      </c>
    </row>
    <row r="61" spans="1:14" s="6" customFormat="1" x14ac:dyDescent="0.25">
      <c r="A61" s="6">
        <v>58</v>
      </c>
      <c r="C61" s="92">
        <v>41873</v>
      </c>
      <c r="D61" s="6" t="s">
        <v>125</v>
      </c>
      <c r="E61" s="6" t="s">
        <v>126</v>
      </c>
      <c r="F61" s="91">
        <v>0</v>
      </c>
      <c r="G61" s="91"/>
      <c r="H61" s="6">
        <v>6</v>
      </c>
      <c r="J61" s="137">
        <v>0</v>
      </c>
      <c r="K61" s="95">
        <v>24</v>
      </c>
      <c r="L61" s="95">
        <v>36</v>
      </c>
      <c r="M61" s="95"/>
      <c r="N61" s="145">
        <v>0.16666666666666666</v>
      </c>
    </row>
    <row r="62" spans="1:14" s="6" customFormat="1" x14ac:dyDescent="0.25">
      <c r="A62" s="6">
        <v>59</v>
      </c>
      <c r="C62" s="92">
        <v>41881</v>
      </c>
      <c r="D62" s="6" t="s">
        <v>117</v>
      </c>
      <c r="E62" s="6" t="s">
        <v>118</v>
      </c>
      <c r="F62" s="91">
        <v>0</v>
      </c>
      <c r="G62" s="91"/>
      <c r="H62" s="6">
        <v>42.195</v>
      </c>
      <c r="J62" s="137">
        <v>3</v>
      </c>
      <c r="K62" s="95">
        <v>8</v>
      </c>
      <c r="L62" s="95">
        <v>40</v>
      </c>
      <c r="M62" s="95"/>
      <c r="N62" s="145">
        <v>0.18680555555555556</v>
      </c>
    </row>
    <row r="63" spans="1:14" s="6" customFormat="1" x14ac:dyDescent="0.25">
      <c r="A63" s="6">
        <v>60</v>
      </c>
      <c r="C63" s="92">
        <v>41896</v>
      </c>
      <c r="D63" s="6" t="s">
        <v>189</v>
      </c>
      <c r="E63" s="6" t="s">
        <v>191</v>
      </c>
      <c r="F63" s="91">
        <v>226</v>
      </c>
      <c r="G63" s="91"/>
      <c r="H63" s="6">
        <v>42.195</v>
      </c>
      <c r="J63" s="137">
        <v>3</v>
      </c>
      <c r="K63" s="95">
        <v>3</v>
      </c>
      <c r="L63" s="95">
        <v>22</v>
      </c>
      <c r="M63" s="95"/>
      <c r="N63" s="145">
        <v>0.18194444444444444</v>
      </c>
    </row>
    <row r="64" spans="1:14" s="6" customFormat="1" x14ac:dyDescent="0.25">
      <c r="A64" s="6">
        <v>61</v>
      </c>
      <c r="C64" s="92">
        <v>41903</v>
      </c>
      <c r="D64" s="6" t="s">
        <v>192</v>
      </c>
      <c r="E64" s="6" t="s">
        <v>193</v>
      </c>
      <c r="F64" s="91">
        <v>70</v>
      </c>
      <c r="G64" s="91"/>
      <c r="H64" s="6">
        <v>21.097000000000001</v>
      </c>
      <c r="J64" s="137">
        <v>1</v>
      </c>
      <c r="K64" s="95">
        <v>30</v>
      </c>
      <c r="L64" s="95">
        <v>5</v>
      </c>
      <c r="M64" s="95"/>
      <c r="N64" s="145">
        <v>0.17708333333333334</v>
      </c>
    </row>
    <row r="65" spans="1:14" s="6" customFormat="1" x14ac:dyDescent="0.25">
      <c r="A65" s="6">
        <v>62</v>
      </c>
      <c r="C65" s="92">
        <v>41910</v>
      </c>
      <c r="D65" s="6" t="s">
        <v>122</v>
      </c>
      <c r="E65" s="6" t="s">
        <v>123</v>
      </c>
      <c r="F65" s="91">
        <v>0</v>
      </c>
      <c r="G65" s="91"/>
      <c r="H65" s="6">
        <v>42.195</v>
      </c>
      <c r="J65" s="137">
        <v>3</v>
      </c>
      <c r="K65" s="95">
        <v>14</v>
      </c>
      <c r="L65" s="95">
        <v>36</v>
      </c>
      <c r="M65" s="95"/>
      <c r="N65" s="145">
        <v>0.19236111111111112</v>
      </c>
    </row>
    <row r="66" spans="1:14" s="6" customFormat="1" x14ac:dyDescent="0.25">
      <c r="A66" s="6">
        <v>63</v>
      </c>
      <c r="C66" s="92">
        <v>41923</v>
      </c>
      <c r="D66" s="6" t="s">
        <v>194</v>
      </c>
      <c r="E66" s="6" t="s">
        <v>141</v>
      </c>
      <c r="F66" s="91">
        <v>50</v>
      </c>
      <c r="G66" s="91"/>
      <c r="H66" s="6">
        <v>12</v>
      </c>
      <c r="J66" s="137">
        <v>1</v>
      </c>
      <c r="K66" s="95">
        <v>5</v>
      </c>
      <c r="L66" s="95">
        <v>12</v>
      </c>
      <c r="M66" s="95"/>
      <c r="N66" s="145">
        <v>0.20277777777777781</v>
      </c>
    </row>
    <row r="67" spans="1:14" s="6" customFormat="1" x14ac:dyDescent="0.25">
      <c r="A67" s="6">
        <v>64</v>
      </c>
      <c r="C67" s="92">
        <v>41924</v>
      </c>
      <c r="D67" s="6" t="s">
        <v>124</v>
      </c>
      <c r="E67" s="6" t="s">
        <v>123</v>
      </c>
      <c r="F67" s="91">
        <v>100</v>
      </c>
      <c r="G67" s="91"/>
      <c r="H67" s="6">
        <v>42.195</v>
      </c>
      <c r="J67" s="137">
        <v>3</v>
      </c>
      <c r="K67" s="95">
        <v>28</v>
      </c>
      <c r="L67" s="95">
        <v>14</v>
      </c>
      <c r="M67" s="95"/>
      <c r="N67" s="145">
        <v>0.20555555555555557</v>
      </c>
    </row>
    <row r="68" spans="1:14" s="6" customFormat="1" x14ac:dyDescent="0.25">
      <c r="A68" s="6">
        <v>65</v>
      </c>
      <c r="C68" s="92">
        <v>41938</v>
      </c>
      <c r="D68" s="6" t="s">
        <v>85</v>
      </c>
      <c r="E68" s="6" t="s">
        <v>86</v>
      </c>
      <c r="F68" s="91">
        <v>400</v>
      </c>
      <c r="G68" s="91"/>
      <c r="H68" s="6">
        <v>42.195</v>
      </c>
      <c r="J68" s="137">
        <v>3</v>
      </c>
      <c r="K68" s="95">
        <v>5</v>
      </c>
      <c r="L68" s="95">
        <v>49</v>
      </c>
      <c r="M68" s="95"/>
      <c r="N68" s="145">
        <v>0.18263888888888891</v>
      </c>
    </row>
    <row r="69" spans="1:14" s="6" customFormat="1" x14ac:dyDescent="0.25">
      <c r="A69" s="6">
        <v>66</v>
      </c>
      <c r="C69" s="92">
        <v>41950</v>
      </c>
      <c r="D69" s="6" t="s">
        <v>88</v>
      </c>
      <c r="E69" s="6" t="s">
        <v>89</v>
      </c>
      <c r="F69" s="91">
        <v>70</v>
      </c>
      <c r="G69" s="91"/>
      <c r="H69" s="6">
        <v>42.195</v>
      </c>
      <c r="J69" s="137">
        <v>3</v>
      </c>
      <c r="K69" s="95">
        <v>29</v>
      </c>
      <c r="L69" s="95">
        <v>17</v>
      </c>
      <c r="M69" s="95"/>
      <c r="N69" s="145">
        <v>0.20625000000000002</v>
      </c>
    </row>
    <row r="70" spans="1:14" s="6" customFormat="1" x14ac:dyDescent="0.25">
      <c r="A70" s="6">
        <v>67</v>
      </c>
      <c r="C70" s="92">
        <v>41958</v>
      </c>
      <c r="D70" s="6" t="s">
        <v>195</v>
      </c>
      <c r="E70" s="6" t="s">
        <v>111</v>
      </c>
      <c r="F70" s="91">
        <v>175</v>
      </c>
      <c r="G70" s="91"/>
      <c r="H70" s="6">
        <v>67.149000000000001</v>
      </c>
      <c r="J70" s="137">
        <v>6</v>
      </c>
      <c r="K70" s="95">
        <v>0</v>
      </c>
      <c r="L70" s="95">
        <v>0</v>
      </c>
      <c r="M70" s="95"/>
      <c r="N70" s="145">
        <v>0.22569444444444445</v>
      </c>
    </row>
    <row r="71" spans="1:14" s="6" customFormat="1" x14ac:dyDescent="0.25">
      <c r="A71" s="6">
        <v>68</v>
      </c>
      <c r="C71" s="92">
        <v>41996</v>
      </c>
      <c r="D71" s="6" t="s">
        <v>124</v>
      </c>
      <c r="E71" s="6" t="s">
        <v>123</v>
      </c>
      <c r="F71" s="91">
        <v>100</v>
      </c>
      <c r="G71" s="91"/>
      <c r="H71" s="6">
        <v>42.195</v>
      </c>
      <c r="J71" s="137">
        <v>3</v>
      </c>
      <c r="K71" s="95">
        <v>13</v>
      </c>
      <c r="L71" s="95">
        <v>3</v>
      </c>
      <c r="M71" s="95"/>
      <c r="N71" s="145">
        <v>0.19583333333333333</v>
      </c>
    </row>
    <row r="72" spans="1:14" s="6" customFormat="1" ht="15.75" thickBot="1" x14ac:dyDescent="0.3">
      <c r="A72" s="6">
        <v>69</v>
      </c>
      <c r="C72" s="150">
        <v>42004</v>
      </c>
      <c r="D72" s="151" t="s">
        <v>133</v>
      </c>
      <c r="E72" s="151" t="s">
        <v>123</v>
      </c>
      <c r="F72" s="151">
        <v>203</v>
      </c>
      <c r="G72" s="163">
        <f>SUM(F43:F72)</f>
        <v>4437.6000000000004</v>
      </c>
      <c r="H72" s="151">
        <v>10</v>
      </c>
      <c r="I72" s="163">
        <f>SUM(H43:H72)</f>
        <v>1046.4450000000004</v>
      </c>
      <c r="J72" s="164">
        <v>0</v>
      </c>
      <c r="K72" s="165">
        <v>40</v>
      </c>
      <c r="L72" s="165">
        <v>29</v>
      </c>
      <c r="M72" s="165"/>
      <c r="N72" s="152">
        <v>0.16805555555555554</v>
      </c>
    </row>
    <row r="73" spans="1:14" s="6" customFormat="1" x14ac:dyDescent="0.25">
      <c r="A73" s="6">
        <v>70</v>
      </c>
      <c r="C73" s="178">
        <v>42022</v>
      </c>
      <c r="D73" s="10" t="s">
        <v>63</v>
      </c>
      <c r="E73" s="10" t="s">
        <v>64</v>
      </c>
      <c r="F73" s="10">
        <v>313</v>
      </c>
      <c r="G73" s="179"/>
      <c r="H73" s="10">
        <v>42.195</v>
      </c>
      <c r="I73" s="10"/>
      <c r="J73" s="180">
        <v>3</v>
      </c>
      <c r="K73" s="181">
        <v>9</v>
      </c>
      <c r="L73" s="181">
        <v>28</v>
      </c>
      <c r="M73" s="181"/>
      <c r="N73" s="182">
        <v>0.18611111111111112</v>
      </c>
    </row>
    <row r="74" spans="1:14" s="6" customFormat="1" x14ac:dyDescent="0.25">
      <c r="A74" s="6">
        <v>71</v>
      </c>
      <c r="C74" s="178">
        <v>42050</v>
      </c>
      <c r="D74" s="10" t="s">
        <v>204</v>
      </c>
      <c r="E74" s="10" t="s">
        <v>197</v>
      </c>
      <c r="F74" s="10">
        <v>239</v>
      </c>
      <c r="G74" s="179"/>
      <c r="H74" s="10">
        <v>42.195</v>
      </c>
      <c r="I74" s="10"/>
      <c r="J74" s="180">
        <v>3</v>
      </c>
      <c r="K74" s="181">
        <v>48</v>
      </c>
      <c r="L74" s="181">
        <v>3</v>
      </c>
      <c r="M74" s="181"/>
      <c r="N74" s="182">
        <v>0.22500000000000001</v>
      </c>
    </row>
    <row r="75" spans="1:14" s="6" customFormat="1" x14ac:dyDescent="0.25">
      <c r="A75" s="6">
        <v>72</v>
      </c>
      <c r="C75" s="178">
        <v>42084</v>
      </c>
      <c r="D75" s="10" t="s">
        <v>205</v>
      </c>
      <c r="E75" s="10" t="s">
        <v>132</v>
      </c>
      <c r="F75" s="10">
        <v>0</v>
      </c>
      <c r="G75" s="179"/>
      <c r="H75" s="10">
        <v>10</v>
      </c>
      <c r="I75" s="10"/>
      <c r="J75" s="180">
        <v>0</v>
      </c>
      <c r="K75" s="181">
        <v>39</v>
      </c>
      <c r="L75" s="181">
        <v>51</v>
      </c>
      <c r="M75" s="181"/>
      <c r="N75" s="182">
        <v>0.16597222222222222</v>
      </c>
    </row>
    <row r="76" spans="1:14" s="6" customFormat="1" x14ac:dyDescent="0.25">
      <c r="A76" s="6">
        <v>73</v>
      </c>
      <c r="C76" s="178">
        <v>42091</v>
      </c>
      <c r="D76" s="10" t="s">
        <v>208</v>
      </c>
      <c r="E76" s="10" t="s">
        <v>126</v>
      </c>
      <c r="F76" s="10">
        <v>115</v>
      </c>
      <c r="G76" s="179"/>
      <c r="H76" s="10">
        <v>10</v>
      </c>
      <c r="I76" s="10"/>
      <c r="J76" s="180">
        <v>0</v>
      </c>
      <c r="K76" s="181">
        <v>40</v>
      </c>
      <c r="L76" s="181">
        <v>22</v>
      </c>
      <c r="M76" s="181"/>
      <c r="N76" s="182">
        <v>0.16805555555555554</v>
      </c>
    </row>
    <row r="77" spans="1:14" s="6" customFormat="1" x14ac:dyDescent="0.25">
      <c r="A77" s="6">
        <v>74</v>
      </c>
      <c r="C77" s="178">
        <v>42105</v>
      </c>
      <c r="D77" s="10" t="s">
        <v>198</v>
      </c>
      <c r="E77" s="10" t="s">
        <v>199</v>
      </c>
      <c r="F77" s="10">
        <v>125</v>
      </c>
      <c r="G77" s="179"/>
      <c r="H77" s="10">
        <v>42.195</v>
      </c>
      <c r="I77" s="10"/>
      <c r="J77" s="180">
        <v>3</v>
      </c>
      <c r="K77" s="181">
        <v>17</v>
      </c>
      <c r="L77" s="181">
        <v>13</v>
      </c>
      <c r="M77" s="181"/>
      <c r="N77" s="182">
        <v>0.19444444444444445</v>
      </c>
    </row>
    <row r="78" spans="1:14" s="6" customFormat="1" x14ac:dyDescent="0.25">
      <c r="A78" s="6">
        <v>75</v>
      </c>
      <c r="C78" s="178">
        <v>42113</v>
      </c>
      <c r="D78" s="10" t="s">
        <v>167</v>
      </c>
      <c r="E78" s="10" t="s">
        <v>168</v>
      </c>
      <c r="F78" s="10">
        <v>0</v>
      </c>
      <c r="G78" s="179"/>
      <c r="H78" s="10">
        <v>42.195</v>
      </c>
      <c r="I78" s="10"/>
      <c r="J78" s="180">
        <v>3</v>
      </c>
      <c r="K78" s="181">
        <v>14</v>
      </c>
      <c r="L78" s="181">
        <v>26</v>
      </c>
      <c r="M78" s="181"/>
      <c r="N78" s="182">
        <v>0.19236111111111112</v>
      </c>
    </row>
    <row r="79" spans="1:14" s="6" customFormat="1" x14ac:dyDescent="0.25">
      <c r="A79" s="6">
        <v>76</v>
      </c>
      <c r="C79" s="178">
        <v>42120</v>
      </c>
      <c r="D79" s="10" t="s">
        <v>70</v>
      </c>
      <c r="E79" s="10" t="s">
        <v>71</v>
      </c>
      <c r="F79" s="10">
        <v>243</v>
      </c>
      <c r="G79" s="179"/>
      <c r="H79" s="10">
        <v>42.195</v>
      </c>
      <c r="I79" s="10"/>
      <c r="J79" s="180">
        <v>3</v>
      </c>
      <c r="K79" s="181">
        <v>2</v>
      </c>
      <c r="L79" s="181">
        <v>44</v>
      </c>
      <c r="M79" s="181"/>
      <c r="N79" s="182">
        <v>0.18055555555555555</v>
      </c>
    </row>
    <row r="80" spans="1:14" s="6" customFormat="1" x14ac:dyDescent="0.25">
      <c r="A80" s="6">
        <v>77</v>
      </c>
      <c r="C80" s="178">
        <v>42124</v>
      </c>
      <c r="D80" s="10" t="s">
        <v>135</v>
      </c>
      <c r="E80" s="10" t="s">
        <v>118</v>
      </c>
      <c r="F80" s="10">
        <v>60</v>
      </c>
      <c r="G80" s="179"/>
      <c r="H80" s="10">
        <v>7.5</v>
      </c>
      <c r="I80" s="10"/>
      <c r="J80" s="180">
        <v>0</v>
      </c>
      <c r="K80" s="181">
        <v>29</v>
      </c>
      <c r="L80" s="181">
        <v>31</v>
      </c>
      <c r="M80" s="181"/>
      <c r="N80" s="182">
        <v>0.1673611111111111</v>
      </c>
    </row>
    <row r="81" spans="1:14" s="6" customFormat="1" x14ac:dyDescent="0.25">
      <c r="A81" s="6">
        <v>78</v>
      </c>
      <c r="C81" s="178">
        <v>42127</v>
      </c>
      <c r="D81" s="10" t="s">
        <v>209</v>
      </c>
      <c r="E81" s="10" t="s">
        <v>210</v>
      </c>
      <c r="F81" s="10">
        <v>350</v>
      </c>
      <c r="G81" s="179"/>
      <c r="H81" s="10">
        <v>44.33</v>
      </c>
      <c r="I81" s="10"/>
      <c r="J81" s="180">
        <v>3</v>
      </c>
      <c r="K81" s="181">
        <v>17</v>
      </c>
      <c r="L81" s="181">
        <v>0</v>
      </c>
      <c r="M81" s="181"/>
      <c r="N81" s="182">
        <v>0.18541666666666667</v>
      </c>
    </row>
    <row r="82" spans="1:14" s="6" customFormat="1" x14ac:dyDescent="0.25">
      <c r="A82" s="6">
        <v>79</v>
      </c>
      <c r="C82" s="178">
        <v>42133</v>
      </c>
      <c r="D82" s="10" t="s">
        <v>131</v>
      </c>
      <c r="E82" s="10" t="s">
        <v>132</v>
      </c>
      <c r="F82" s="10">
        <v>0</v>
      </c>
      <c r="G82" s="179"/>
      <c r="H82" s="10">
        <v>21.097000000000001</v>
      </c>
      <c r="I82" s="10"/>
      <c r="J82" s="180">
        <v>1</v>
      </c>
      <c r="K82" s="181">
        <v>29</v>
      </c>
      <c r="L82" s="181">
        <v>30</v>
      </c>
      <c r="M82" s="181"/>
      <c r="N82" s="182">
        <v>0.1763888888888889</v>
      </c>
    </row>
    <row r="83" spans="1:14" s="6" customFormat="1" x14ac:dyDescent="0.25">
      <c r="A83" s="6">
        <v>80</v>
      </c>
      <c r="C83" s="178">
        <v>42138</v>
      </c>
      <c r="D83" s="10" t="s">
        <v>215</v>
      </c>
      <c r="E83" s="10" t="s">
        <v>126</v>
      </c>
      <c r="F83" s="10">
        <v>750</v>
      </c>
      <c r="G83" s="179"/>
      <c r="H83" s="10">
        <v>100</v>
      </c>
      <c r="I83" s="10"/>
      <c r="J83" s="180">
        <v>11</v>
      </c>
      <c r="K83" s="181">
        <v>5</v>
      </c>
      <c r="L83" s="181">
        <v>44</v>
      </c>
      <c r="M83" s="181"/>
      <c r="N83" s="182">
        <v>0.27708333333333335</v>
      </c>
    </row>
    <row r="84" spans="1:14" s="6" customFormat="1" x14ac:dyDescent="0.25">
      <c r="A84" s="6">
        <v>81</v>
      </c>
      <c r="C84" s="178">
        <v>42148</v>
      </c>
      <c r="D84" s="10" t="s">
        <v>73</v>
      </c>
      <c r="E84" s="10" t="s">
        <v>74</v>
      </c>
      <c r="F84" s="10">
        <v>0</v>
      </c>
      <c r="G84" s="179"/>
      <c r="H84" s="10">
        <v>42.195</v>
      </c>
      <c r="I84" s="10"/>
      <c r="J84" s="180">
        <v>3</v>
      </c>
      <c r="K84" s="181">
        <v>19</v>
      </c>
      <c r="L84" s="181">
        <v>31</v>
      </c>
      <c r="M84" s="181"/>
      <c r="N84" s="182">
        <v>0.19722222222222222</v>
      </c>
    </row>
    <row r="85" spans="1:14" s="6" customFormat="1" x14ac:dyDescent="0.25">
      <c r="A85" s="6">
        <v>82</v>
      </c>
      <c r="C85" s="178">
        <v>42153</v>
      </c>
      <c r="D85" s="10" t="s">
        <v>219</v>
      </c>
      <c r="E85" s="10" t="s">
        <v>123</v>
      </c>
      <c r="F85" s="10">
        <v>25</v>
      </c>
      <c r="G85" s="179"/>
      <c r="H85" s="10">
        <v>42.195</v>
      </c>
      <c r="I85" s="10"/>
      <c r="J85" s="180">
        <v>3</v>
      </c>
      <c r="K85" s="181">
        <v>40</v>
      </c>
      <c r="L85" s="181">
        <v>47</v>
      </c>
      <c r="M85" s="181"/>
      <c r="N85" s="182">
        <v>0.22638888888888889</v>
      </c>
    </row>
    <row r="86" spans="1:14" s="6" customFormat="1" x14ac:dyDescent="0.25">
      <c r="A86" s="6">
        <v>83</v>
      </c>
      <c r="C86" s="178">
        <v>42153</v>
      </c>
      <c r="D86" s="10" t="s">
        <v>220</v>
      </c>
      <c r="E86" s="10" t="s">
        <v>123</v>
      </c>
      <c r="F86" s="10">
        <v>25</v>
      </c>
      <c r="G86" s="179"/>
      <c r="H86" s="10">
        <v>42.195</v>
      </c>
      <c r="I86" s="10"/>
      <c r="J86" s="180">
        <v>3</v>
      </c>
      <c r="K86" s="181">
        <v>44</v>
      </c>
      <c r="L86" s="181">
        <v>19</v>
      </c>
      <c r="M86" s="181"/>
      <c r="N86" s="182">
        <v>0.23055555555555554</v>
      </c>
    </row>
    <row r="87" spans="1:14" s="6" customFormat="1" x14ac:dyDescent="0.25">
      <c r="A87" s="6">
        <v>84</v>
      </c>
      <c r="C87" s="178">
        <v>42155</v>
      </c>
      <c r="D87" s="10" t="s">
        <v>130</v>
      </c>
      <c r="E87" s="10" t="s">
        <v>126</v>
      </c>
      <c r="F87" s="10">
        <v>144</v>
      </c>
      <c r="G87" s="179"/>
      <c r="H87" s="10">
        <v>10</v>
      </c>
      <c r="I87" s="10"/>
      <c r="J87" s="180">
        <v>0</v>
      </c>
      <c r="K87" s="181">
        <v>43</v>
      </c>
      <c r="L87" s="181">
        <v>29</v>
      </c>
      <c r="M87" s="181"/>
      <c r="N87" s="182">
        <v>0.18263888888888891</v>
      </c>
    </row>
    <row r="88" spans="1:14" s="6" customFormat="1" x14ac:dyDescent="0.25">
      <c r="A88" s="6">
        <v>85</v>
      </c>
      <c r="C88" s="178">
        <v>42160</v>
      </c>
      <c r="D88" s="10" t="s">
        <v>211</v>
      </c>
      <c r="E88" s="10" t="s">
        <v>212</v>
      </c>
      <c r="F88" s="10">
        <v>100</v>
      </c>
      <c r="G88" s="179"/>
      <c r="H88" s="10">
        <v>42.195</v>
      </c>
      <c r="I88" s="10"/>
      <c r="J88" s="180">
        <v>3</v>
      </c>
      <c r="K88" s="181">
        <v>25</v>
      </c>
      <c r="L88" s="181">
        <v>7</v>
      </c>
      <c r="M88" s="181"/>
      <c r="N88" s="182">
        <v>0.20694444444444446</v>
      </c>
    </row>
    <row r="89" spans="1:14" s="6" customFormat="1" x14ac:dyDescent="0.25">
      <c r="A89" s="6">
        <v>86</v>
      </c>
      <c r="C89" s="178">
        <v>42168</v>
      </c>
      <c r="D89" s="10" t="s">
        <v>221</v>
      </c>
      <c r="E89" s="10" t="s">
        <v>217</v>
      </c>
      <c r="F89" s="10">
        <f>10*10.5</f>
        <v>105</v>
      </c>
      <c r="G89" s="179"/>
      <c r="H89" s="10">
        <v>5</v>
      </c>
      <c r="I89" s="10"/>
      <c r="J89" s="180">
        <v>0</v>
      </c>
      <c r="K89" s="181">
        <v>21</v>
      </c>
      <c r="L89" s="181">
        <v>17</v>
      </c>
      <c r="M89" s="181"/>
      <c r="N89" s="182">
        <v>0.17916666666666667</v>
      </c>
    </row>
    <row r="90" spans="1:14" s="6" customFormat="1" x14ac:dyDescent="0.25">
      <c r="A90" s="6">
        <v>87</v>
      </c>
      <c r="C90" s="178">
        <v>42169</v>
      </c>
      <c r="D90" s="10" t="s">
        <v>216</v>
      </c>
      <c r="E90" s="10" t="s">
        <v>217</v>
      </c>
      <c r="F90" s="10">
        <v>563</v>
      </c>
      <c r="G90" s="179"/>
      <c r="H90" s="10">
        <v>42.195</v>
      </c>
      <c r="I90" s="10"/>
      <c r="J90" s="180">
        <v>3</v>
      </c>
      <c r="K90" s="181">
        <v>6</v>
      </c>
      <c r="L90" s="181">
        <v>18</v>
      </c>
      <c r="M90" s="181"/>
      <c r="N90" s="182">
        <v>0.18333333333333335</v>
      </c>
    </row>
    <row r="91" spans="1:14" s="6" customFormat="1" x14ac:dyDescent="0.25">
      <c r="A91" s="6">
        <v>88</v>
      </c>
      <c r="C91" s="92">
        <v>42175</v>
      </c>
      <c r="D91" s="6" t="s">
        <v>174</v>
      </c>
      <c r="E91" s="6" t="s">
        <v>175</v>
      </c>
      <c r="F91" s="6">
        <v>213</v>
      </c>
      <c r="G91" s="91"/>
      <c r="H91" s="6">
        <v>42.195</v>
      </c>
      <c r="J91" s="137">
        <v>3</v>
      </c>
      <c r="K91" s="95">
        <v>15</v>
      </c>
      <c r="L91" s="95">
        <v>36</v>
      </c>
      <c r="M91" s="95"/>
      <c r="N91" s="145">
        <v>0.19305555555555554</v>
      </c>
    </row>
    <row r="92" spans="1:14" s="6" customFormat="1" x14ac:dyDescent="0.25">
      <c r="A92" s="6">
        <v>89</v>
      </c>
      <c r="C92" s="92">
        <v>42176</v>
      </c>
      <c r="D92" s="6" t="s">
        <v>223</v>
      </c>
      <c r="E92" s="6" t="s">
        <v>210</v>
      </c>
      <c r="F92" s="6">
        <v>0</v>
      </c>
      <c r="G92" s="91"/>
      <c r="H92" s="6">
        <v>21.097000000000001</v>
      </c>
      <c r="J92" s="137">
        <v>1</v>
      </c>
      <c r="K92" s="95">
        <v>39</v>
      </c>
      <c r="L92" s="95">
        <v>23</v>
      </c>
      <c r="M92" s="95"/>
      <c r="N92" s="145">
        <v>0.19583333333333333</v>
      </c>
    </row>
    <row r="93" spans="1:14" s="6" customFormat="1" x14ac:dyDescent="0.25">
      <c r="A93" s="6">
        <v>90</v>
      </c>
      <c r="C93" s="92">
        <v>42190</v>
      </c>
      <c r="D93" s="6" t="s">
        <v>180</v>
      </c>
      <c r="E93" s="6" t="s">
        <v>181</v>
      </c>
      <c r="F93" s="6">
        <v>132</v>
      </c>
      <c r="G93" s="91"/>
      <c r="H93" s="6">
        <v>42.195</v>
      </c>
      <c r="J93" s="137">
        <v>3</v>
      </c>
      <c r="K93" s="95">
        <v>30</v>
      </c>
      <c r="L93" s="95">
        <v>15</v>
      </c>
      <c r="M93" s="95"/>
      <c r="N93" s="145">
        <v>0.20694444444444446</v>
      </c>
    </row>
    <row r="94" spans="1:14" s="6" customFormat="1" x14ac:dyDescent="0.25">
      <c r="A94" s="6">
        <v>91</v>
      </c>
      <c r="C94" s="92">
        <v>42197</v>
      </c>
      <c r="D94" s="6" t="s">
        <v>124</v>
      </c>
      <c r="E94" s="6" t="s">
        <v>123</v>
      </c>
      <c r="F94" s="6">
        <v>108</v>
      </c>
      <c r="G94" s="91"/>
      <c r="H94" s="6">
        <v>42.195</v>
      </c>
      <c r="J94" s="137">
        <v>3</v>
      </c>
      <c r="K94" s="95">
        <v>24</v>
      </c>
      <c r="L94" s="95">
        <v>39</v>
      </c>
      <c r="M94" s="95"/>
      <c r="N94" s="145">
        <v>0.20555555555555557</v>
      </c>
    </row>
    <row r="95" spans="1:14" s="6" customFormat="1" x14ac:dyDescent="0.25">
      <c r="A95" s="6">
        <v>92</v>
      </c>
      <c r="C95" s="92">
        <v>42215</v>
      </c>
      <c r="D95" s="6" t="s">
        <v>222</v>
      </c>
      <c r="E95" s="6" t="s">
        <v>129</v>
      </c>
      <c r="F95" s="6">
        <v>100</v>
      </c>
      <c r="G95" s="91"/>
      <c r="H95" s="6">
        <v>42.195</v>
      </c>
      <c r="J95" s="137">
        <v>3</v>
      </c>
      <c r="K95" s="95">
        <v>22</v>
      </c>
      <c r="L95" s="95">
        <v>25</v>
      </c>
      <c r="M95" s="95"/>
      <c r="N95" s="145">
        <v>0.20138888888888887</v>
      </c>
    </row>
    <row r="96" spans="1:14" s="6" customFormat="1" x14ac:dyDescent="0.25">
      <c r="A96" s="6">
        <v>93</v>
      </c>
      <c r="C96" s="92">
        <v>42237</v>
      </c>
      <c r="D96" s="6" t="s">
        <v>125</v>
      </c>
      <c r="E96" s="6" t="s">
        <v>126</v>
      </c>
      <c r="F96" s="91">
        <v>0</v>
      </c>
      <c r="G96" s="91"/>
      <c r="H96" s="6">
        <v>6</v>
      </c>
      <c r="J96" s="137">
        <v>0</v>
      </c>
      <c r="K96" s="95">
        <v>22</v>
      </c>
      <c r="L96" s="95">
        <v>45</v>
      </c>
      <c r="M96" s="95"/>
      <c r="N96" s="145">
        <v>0.16250000000000001</v>
      </c>
    </row>
    <row r="97" spans="1:14" s="6" customFormat="1" x14ac:dyDescent="0.25">
      <c r="A97" s="6">
        <v>94</v>
      </c>
      <c r="C97" s="92">
        <v>42239</v>
      </c>
      <c r="D97" s="6" t="s">
        <v>222</v>
      </c>
      <c r="E97" s="6" t="s">
        <v>129</v>
      </c>
      <c r="F97" s="6">
        <v>100</v>
      </c>
      <c r="G97" s="91"/>
      <c r="H97" s="6">
        <v>42.195</v>
      </c>
      <c r="J97" s="137">
        <v>3</v>
      </c>
      <c r="K97" s="95">
        <v>27</v>
      </c>
      <c r="L97" s="95">
        <v>34</v>
      </c>
      <c r="M97" s="95"/>
      <c r="N97" s="145">
        <v>0.20625000000000002</v>
      </c>
    </row>
    <row r="98" spans="1:14" s="6" customFormat="1" x14ac:dyDescent="0.25">
      <c r="A98" s="6">
        <v>95</v>
      </c>
      <c r="C98" s="92">
        <v>42245</v>
      </c>
      <c r="D98" s="6" t="s">
        <v>117</v>
      </c>
      <c r="E98" s="6" t="s">
        <v>118</v>
      </c>
      <c r="F98" s="91">
        <v>0</v>
      </c>
      <c r="G98" s="91"/>
      <c r="H98" s="6">
        <v>42.195</v>
      </c>
      <c r="J98" s="137">
        <v>3</v>
      </c>
      <c r="K98" s="95">
        <v>14</v>
      </c>
      <c r="L98" s="95">
        <v>59</v>
      </c>
      <c r="M98" s="95"/>
      <c r="N98" s="145">
        <v>0.18611111111111112</v>
      </c>
    </row>
    <row r="99" spans="1:14" s="6" customFormat="1" x14ac:dyDescent="0.25">
      <c r="A99" s="6">
        <v>96</v>
      </c>
      <c r="C99" s="92">
        <v>42253</v>
      </c>
      <c r="D99" s="6" t="s">
        <v>200</v>
      </c>
      <c r="E99" s="6" t="s">
        <v>201</v>
      </c>
      <c r="F99" s="91">
        <v>0</v>
      </c>
      <c r="G99" s="91"/>
      <c r="H99" s="6">
        <v>42.195</v>
      </c>
      <c r="J99" s="137">
        <v>3</v>
      </c>
      <c r="K99" s="95">
        <v>14</v>
      </c>
      <c r="L99" s="95">
        <v>35</v>
      </c>
      <c r="M99" s="95"/>
      <c r="N99" s="145">
        <v>0.19027777777777777</v>
      </c>
    </row>
    <row r="100" spans="1:14" s="6" customFormat="1" x14ac:dyDescent="0.25">
      <c r="A100" s="6">
        <v>97</v>
      </c>
      <c r="C100" s="92">
        <v>42260</v>
      </c>
      <c r="D100" s="6" t="s">
        <v>269</v>
      </c>
      <c r="E100" s="6" t="s">
        <v>74</v>
      </c>
      <c r="F100" s="91">
        <v>0</v>
      </c>
      <c r="G100" s="91"/>
      <c r="H100" s="6">
        <v>21.097000000000001</v>
      </c>
      <c r="J100" s="137">
        <v>1</v>
      </c>
      <c r="K100" s="95">
        <v>34</v>
      </c>
      <c r="L100" s="95">
        <v>40</v>
      </c>
      <c r="M100" s="95"/>
      <c r="N100" s="145">
        <v>0.1875</v>
      </c>
    </row>
    <row r="101" spans="1:14" s="6" customFormat="1" x14ac:dyDescent="0.25">
      <c r="A101" s="6">
        <v>98</v>
      </c>
      <c r="C101" s="92">
        <v>42281</v>
      </c>
      <c r="D101" s="6" t="s">
        <v>122</v>
      </c>
      <c r="E101" s="6" t="s">
        <v>123</v>
      </c>
      <c r="F101" s="91">
        <v>0</v>
      </c>
      <c r="G101" s="91"/>
      <c r="H101" s="6">
        <v>42.195</v>
      </c>
      <c r="J101" s="137">
        <v>3</v>
      </c>
      <c r="K101" s="95">
        <v>14</v>
      </c>
      <c r="L101" s="95">
        <v>36</v>
      </c>
      <c r="M101" s="95"/>
      <c r="N101" s="145">
        <v>0.19166666666666665</v>
      </c>
    </row>
    <row r="102" spans="1:14" s="6" customFormat="1" x14ac:dyDescent="0.25">
      <c r="A102" s="6">
        <v>99</v>
      </c>
      <c r="C102" s="92">
        <v>42295</v>
      </c>
      <c r="D102" s="6" t="s">
        <v>278</v>
      </c>
      <c r="E102" s="6" t="s">
        <v>279</v>
      </c>
      <c r="F102" s="91">
        <v>396</v>
      </c>
      <c r="G102" s="91"/>
      <c r="H102" s="6">
        <v>42.195</v>
      </c>
      <c r="J102" s="137">
        <v>3</v>
      </c>
      <c r="K102" s="95">
        <v>4</v>
      </c>
      <c r="L102" s="95">
        <v>17</v>
      </c>
      <c r="M102" s="95"/>
      <c r="N102" s="145">
        <v>0.18194444444444444</v>
      </c>
    </row>
    <row r="103" spans="1:14" s="6" customFormat="1" x14ac:dyDescent="0.25">
      <c r="A103" s="6">
        <v>100</v>
      </c>
      <c r="C103" s="92">
        <v>42323</v>
      </c>
      <c r="D103" s="6" t="s">
        <v>280</v>
      </c>
      <c r="E103" s="6" t="s">
        <v>281</v>
      </c>
      <c r="F103" s="91">
        <v>323</v>
      </c>
      <c r="G103" s="91"/>
      <c r="H103" s="6">
        <v>42.195</v>
      </c>
      <c r="J103" s="137">
        <v>3</v>
      </c>
      <c r="K103" s="95">
        <v>0</v>
      </c>
      <c r="L103" s="95">
        <v>9</v>
      </c>
      <c r="M103" s="95"/>
      <c r="N103" s="145">
        <v>0.17777777777777778</v>
      </c>
    </row>
    <row r="104" spans="1:14" s="6" customFormat="1" x14ac:dyDescent="0.25">
      <c r="A104" s="6">
        <v>101</v>
      </c>
      <c r="C104" s="92">
        <v>42361</v>
      </c>
      <c r="D104" s="6" t="s">
        <v>124</v>
      </c>
      <c r="E104" s="6" t="s">
        <v>123</v>
      </c>
      <c r="F104" s="91">
        <v>108</v>
      </c>
      <c r="G104" s="91"/>
      <c r="H104" s="6">
        <v>42.195</v>
      </c>
      <c r="J104" s="137">
        <v>3</v>
      </c>
      <c r="K104" s="95">
        <v>29</v>
      </c>
      <c r="L104" s="95">
        <v>31</v>
      </c>
      <c r="M104" s="95"/>
      <c r="N104" s="145">
        <v>0.20694444444444446</v>
      </c>
    </row>
    <row r="105" spans="1:14" s="6" customFormat="1" ht="15.75" thickBot="1" x14ac:dyDescent="0.3">
      <c r="A105" s="151">
        <v>102</v>
      </c>
      <c r="B105" s="151"/>
      <c r="C105" s="150">
        <v>42369</v>
      </c>
      <c r="D105" s="151" t="s">
        <v>133</v>
      </c>
      <c r="E105" s="151" t="s">
        <v>123</v>
      </c>
      <c r="F105" s="163">
        <v>180</v>
      </c>
      <c r="G105" s="163">
        <f>SUM(F73:F105)</f>
        <v>4817</v>
      </c>
      <c r="H105" s="151">
        <v>10</v>
      </c>
      <c r="I105" s="163">
        <f>SUM(H73:H105)</f>
        <v>1152.2160000000003</v>
      </c>
      <c r="J105" s="164">
        <v>0</v>
      </c>
      <c r="K105" s="165">
        <v>46</v>
      </c>
      <c r="L105" s="165">
        <v>1</v>
      </c>
      <c r="M105" s="165"/>
      <c r="N105" s="152">
        <v>0.19305555555555554</v>
      </c>
    </row>
    <row r="106" spans="1:14" s="6" customFormat="1" x14ac:dyDescent="0.25">
      <c r="A106" s="6">
        <v>103</v>
      </c>
      <c r="C106" s="92">
        <v>42393</v>
      </c>
      <c r="D106" s="6" t="s">
        <v>63</v>
      </c>
      <c r="E106" s="6" t="s">
        <v>64</v>
      </c>
      <c r="F106" s="6">
        <v>275</v>
      </c>
      <c r="G106" s="91"/>
      <c r="H106" s="6">
        <v>42.195</v>
      </c>
      <c r="J106" s="137">
        <v>3</v>
      </c>
      <c r="K106" s="95">
        <v>19</v>
      </c>
      <c r="L106" s="95">
        <v>11</v>
      </c>
      <c r="M106" s="95"/>
      <c r="N106" s="145">
        <v>0.19722222222222222</v>
      </c>
    </row>
    <row r="107" spans="1:14" s="6" customFormat="1" x14ac:dyDescent="0.25">
      <c r="A107" s="6">
        <v>104</v>
      </c>
      <c r="C107" s="92">
        <v>42436</v>
      </c>
      <c r="D107" s="6" t="s">
        <v>205</v>
      </c>
      <c r="E107" s="6" t="s">
        <v>132</v>
      </c>
      <c r="F107" s="91">
        <v>0</v>
      </c>
      <c r="G107" s="91"/>
      <c r="H107" s="6">
        <v>10</v>
      </c>
      <c r="J107" s="137">
        <v>0</v>
      </c>
      <c r="K107" s="95">
        <v>39</v>
      </c>
      <c r="L107" s="95">
        <v>52</v>
      </c>
      <c r="M107" s="95"/>
      <c r="N107" s="145">
        <v>0.16597222222222222</v>
      </c>
    </row>
    <row r="108" spans="1:14" s="6" customFormat="1" x14ac:dyDescent="0.25">
      <c r="A108" s="6">
        <v>105</v>
      </c>
      <c r="C108" s="92">
        <v>42448</v>
      </c>
      <c r="D108" s="6" t="s">
        <v>286</v>
      </c>
      <c r="E108" s="6" t="s">
        <v>199</v>
      </c>
      <c r="F108" s="91">
        <v>70</v>
      </c>
      <c r="G108" s="91"/>
      <c r="H108" s="6">
        <v>42.195</v>
      </c>
      <c r="J108" s="137">
        <v>3</v>
      </c>
      <c r="K108" s="95">
        <v>27</v>
      </c>
      <c r="L108" s="95">
        <v>48</v>
      </c>
      <c r="M108" s="95"/>
      <c r="N108" s="145">
        <v>0.20416666666666669</v>
      </c>
    </row>
    <row r="109" spans="1:14" s="6" customFormat="1" x14ac:dyDescent="0.25">
      <c r="A109" s="6">
        <v>106</v>
      </c>
      <c r="C109" s="92">
        <v>42455</v>
      </c>
      <c r="D109" s="6" t="s">
        <v>295</v>
      </c>
      <c r="E109" s="6" t="s">
        <v>296</v>
      </c>
      <c r="F109" s="91">
        <v>300</v>
      </c>
      <c r="G109" s="91"/>
      <c r="H109" s="6">
        <v>42.195</v>
      </c>
      <c r="J109" s="137">
        <v>4</v>
      </c>
      <c r="K109" s="95">
        <v>22</v>
      </c>
      <c r="L109" s="95">
        <v>51</v>
      </c>
      <c r="M109" s="95"/>
      <c r="N109" s="145">
        <v>0.25</v>
      </c>
    </row>
    <row r="110" spans="1:14" s="6" customFormat="1" x14ac:dyDescent="0.25">
      <c r="A110" s="6">
        <v>107</v>
      </c>
      <c r="C110" s="92">
        <v>42470</v>
      </c>
      <c r="D110" s="6" t="s">
        <v>167</v>
      </c>
      <c r="E110" s="6" t="s">
        <v>168</v>
      </c>
      <c r="F110" s="91">
        <v>0</v>
      </c>
      <c r="G110" s="91"/>
      <c r="H110" s="6">
        <v>42.195</v>
      </c>
      <c r="J110" s="137">
        <v>3</v>
      </c>
      <c r="K110" s="95">
        <v>14</v>
      </c>
      <c r="L110" s="95">
        <v>48</v>
      </c>
      <c r="M110" s="95"/>
      <c r="N110" s="145">
        <v>0.19236111111111112</v>
      </c>
    </row>
    <row r="111" spans="1:14" s="6" customFormat="1" x14ac:dyDescent="0.25">
      <c r="A111" s="6">
        <v>108</v>
      </c>
      <c r="C111" s="92">
        <v>42486</v>
      </c>
      <c r="D111" s="6" t="s">
        <v>291</v>
      </c>
      <c r="E111" s="6" t="s">
        <v>292</v>
      </c>
      <c r="F111" s="91">
        <v>633</v>
      </c>
      <c r="G111" s="91"/>
      <c r="H111" s="6">
        <v>42.195</v>
      </c>
      <c r="J111" s="137">
        <v>3</v>
      </c>
      <c r="K111" s="95">
        <v>6</v>
      </c>
      <c r="L111" s="95">
        <v>25</v>
      </c>
      <c r="M111" s="95"/>
      <c r="N111" s="145">
        <v>0.18472222222222223</v>
      </c>
    </row>
    <row r="112" spans="1:14" s="6" customFormat="1" x14ac:dyDescent="0.25">
      <c r="A112" s="6">
        <v>109</v>
      </c>
      <c r="C112" s="92">
        <v>42491</v>
      </c>
      <c r="D112" s="6" t="s">
        <v>299</v>
      </c>
      <c r="E112" s="6" t="s">
        <v>126</v>
      </c>
      <c r="F112" s="91">
        <v>226</v>
      </c>
      <c r="G112" s="91"/>
      <c r="H112" s="6">
        <v>21.097000000000001</v>
      </c>
      <c r="J112" s="137">
        <v>1</v>
      </c>
      <c r="K112" s="95">
        <v>28</v>
      </c>
      <c r="L112" s="95">
        <v>34</v>
      </c>
      <c r="M112" s="95"/>
      <c r="N112" s="145">
        <v>0.17430555555555557</v>
      </c>
    </row>
    <row r="113" spans="1:14" s="6" customFormat="1" x14ac:dyDescent="0.25">
      <c r="A113" s="6">
        <v>110</v>
      </c>
      <c r="C113" s="92">
        <v>42495</v>
      </c>
      <c r="D113" s="6" t="s">
        <v>297</v>
      </c>
      <c r="E113" s="6" t="s">
        <v>298</v>
      </c>
      <c r="F113" s="91">
        <v>250</v>
      </c>
      <c r="G113" s="91"/>
      <c r="H113" s="6">
        <v>52.7</v>
      </c>
      <c r="J113" s="137">
        <v>4</v>
      </c>
      <c r="K113" s="95">
        <v>45</v>
      </c>
      <c r="L113" s="95">
        <v>16</v>
      </c>
      <c r="M113" s="95"/>
      <c r="N113" s="145">
        <v>0.22500000000000001</v>
      </c>
    </row>
    <row r="114" spans="1:14" s="6" customFormat="1" x14ac:dyDescent="0.25">
      <c r="A114" s="6">
        <v>111</v>
      </c>
      <c r="C114" s="92">
        <v>42497</v>
      </c>
      <c r="D114" s="6" t="s">
        <v>131</v>
      </c>
      <c r="E114" s="6" t="s">
        <v>132</v>
      </c>
      <c r="F114" s="91">
        <v>0</v>
      </c>
      <c r="G114" s="91"/>
      <c r="H114" s="6">
        <v>21.097000000000001</v>
      </c>
      <c r="J114" s="137">
        <v>1</v>
      </c>
      <c r="K114" s="95">
        <v>29</v>
      </c>
      <c r="L114" s="95">
        <v>50</v>
      </c>
      <c r="M114" s="95"/>
      <c r="N114" s="145">
        <v>0.17708333333333334</v>
      </c>
    </row>
    <row r="115" spans="1:14" s="6" customFormat="1" x14ac:dyDescent="0.25">
      <c r="A115" s="6">
        <v>112</v>
      </c>
      <c r="C115" s="92">
        <v>42505</v>
      </c>
      <c r="D115" s="6" t="s">
        <v>300</v>
      </c>
      <c r="E115" s="6" t="s">
        <v>301</v>
      </c>
      <c r="F115" s="91">
        <f>14*7.54</f>
        <v>105.56</v>
      </c>
      <c r="G115" s="91"/>
      <c r="H115" s="6">
        <v>42.195</v>
      </c>
      <c r="J115" s="137">
        <v>3</v>
      </c>
      <c r="K115" s="95">
        <v>11</v>
      </c>
      <c r="L115" s="95">
        <v>48</v>
      </c>
      <c r="M115" s="95"/>
      <c r="N115" s="145">
        <v>0.18888888888888888</v>
      </c>
    </row>
    <row r="116" spans="1:14" s="6" customFormat="1" x14ac:dyDescent="0.25">
      <c r="A116" s="6">
        <v>113</v>
      </c>
      <c r="C116" s="92">
        <v>42512</v>
      </c>
      <c r="D116" s="6" t="s">
        <v>73</v>
      </c>
      <c r="E116" s="6" t="s">
        <v>74</v>
      </c>
      <c r="F116" s="91">
        <v>0</v>
      </c>
      <c r="G116" s="91"/>
      <c r="H116" s="6">
        <v>42.195</v>
      </c>
      <c r="J116" s="137">
        <v>3</v>
      </c>
      <c r="K116" s="95">
        <v>12</v>
      </c>
      <c r="L116" s="95">
        <v>59</v>
      </c>
      <c r="M116" s="95"/>
      <c r="N116" s="145">
        <v>0.19027777777777777</v>
      </c>
    </row>
    <row r="117" spans="1:14" s="6" customFormat="1" x14ac:dyDescent="0.25">
      <c r="A117" s="6">
        <v>114</v>
      </c>
      <c r="C117" s="92">
        <v>42519</v>
      </c>
      <c r="D117" s="6" t="s">
        <v>130</v>
      </c>
      <c r="E117" s="6" t="s">
        <v>126</v>
      </c>
      <c r="F117" s="91">
        <v>100</v>
      </c>
      <c r="G117" s="91"/>
      <c r="H117" s="6">
        <v>21.4</v>
      </c>
      <c r="J117" s="137">
        <v>1</v>
      </c>
      <c r="K117" s="95">
        <v>34</v>
      </c>
      <c r="L117" s="95">
        <v>25</v>
      </c>
      <c r="M117" s="95"/>
      <c r="N117" s="145">
        <v>0.18402777777777779</v>
      </c>
    </row>
    <row r="118" spans="1:14" s="6" customFormat="1" x14ac:dyDescent="0.25">
      <c r="A118" s="6">
        <v>115</v>
      </c>
      <c r="C118" s="92">
        <v>42539</v>
      </c>
      <c r="D118" s="6" t="s">
        <v>174</v>
      </c>
      <c r="E118" s="6" t="s">
        <v>175</v>
      </c>
      <c r="F118" s="91">
        <v>269</v>
      </c>
      <c r="G118" s="91"/>
      <c r="H118" s="6">
        <v>42.195</v>
      </c>
      <c r="J118" s="137">
        <v>3</v>
      </c>
      <c r="K118" s="95">
        <v>9</v>
      </c>
      <c r="L118" s="95">
        <v>4</v>
      </c>
      <c r="M118" s="95"/>
      <c r="N118" s="145">
        <v>0.18611111111111112</v>
      </c>
    </row>
    <row r="119" spans="1:14" s="6" customFormat="1" x14ac:dyDescent="0.25">
      <c r="A119" s="6">
        <v>116</v>
      </c>
      <c r="C119" s="92">
        <v>42547</v>
      </c>
      <c r="D119" s="6" t="s">
        <v>307</v>
      </c>
      <c r="E119" s="6" t="s">
        <v>302</v>
      </c>
      <c r="F119" s="91">
        <v>100</v>
      </c>
      <c r="G119" s="91"/>
      <c r="H119" s="6">
        <v>42.195</v>
      </c>
      <c r="J119" s="137">
        <v>3</v>
      </c>
      <c r="K119" s="95">
        <v>27</v>
      </c>
      <c r="L119" s="95">
        <v>0</v>
      </c>
      <c r="M119" s="95"/>
      <c r="N119" s="145">
        <v>0.20486111111111113</v>
      </c>
    </row>
    <row r="120" spans="1:14" s="6" customFormat="1" x14ac:dyDescent="0.25">
      <c r="A120" s="6">
        <v>117</v>
      </c>
      <c r="C120" s="92">
        <v>42553</v>
      </c>
      <c r="D120" s="6" t="s">
        <v>308</v>
      </c>
      <c r="E120" s="6" t="s">
        <v>175</v>
      </c>
      <c r="F120" s="91">
        <v>100</v>
      </c>
      <c r="G120" s="91"/>
      <c r="H120" s="6">
        <v>42.195</v>
      </c>
      <c r="J120" s="137">
        <v>3</v>
      </c>
      <c r="K120" s="95">
        <v>25</v>
      </c>
      <c r="L120" s="95">
        <v>18</v>
      </c>
      <c r="M120" s="95"/>
      <c r="N120" s="145">
        <v>0.20416666666666669</v>
      </c>
    </row>
    <row r="121" spans="1:14" s="6" customFormat="1" x14ac:dyDescent="0.25">
      <c r="A121" s="6">
        <v>118</v>
      </c>
      <c r="C121" s="92">
        <v>42560</v>
      </c>
      <c r="D121" s="6" t="s">
        <v>309</v>
      </c>
      <c r="E121" s="6" t="s">
        <v>64</v>
      </c>
      <c r="F121" s="91">
        <v>100</v>
      </c>
      <c r="G121" s="91"/>
      <c r="H121" s="6">
        <v>42.195</v>
      </c>
      <c r="J121" s="137">
        <v>3</v>
      </c>
      <c r="K121" s="95">
        <v>20</v>
      </c>
      <c r="L121" s="95">
        <v>17</v>
      </c>
      <c r="M121" s="95"/>
      <c r="N121" s="145">
        <v>0.19722222222222222</v>
      </c>
    </row>
    <row r="122" spans="1:14" s="6" customFormat="1" x14ac:dyDescent="0.25">
      <c r="A122" s="6">
        <v>119</v>
      </c>
      <c r="C122" s="92">
        <v>42568</v>
      </c>
      <c r="D122" s="6" t="s">
        <v>311</v>
      </c>
      <c r="E122" s="6" t="s">
        <v>310</v>
      </c>
      <c r="F122" s="91">
        <v>100</v>
      </c>
      <c r="G122" s="91"/>
      <c r="H122" s="6">
        <v>42.195</v>
      </c>
      <c r="J122" s="137">
        <v>3</v>
      </c>
      <c r="K122" s="95">
        <v>29</v>
      </c>
      <c r="L122" s="95">
        <v>3</v>
      </c>
      <c r="M122" s="95"/>
      <c r="N122" s="145">
        <v>0.20555555555555557</v>
      </c>
    </row>
    <row r="123" spans="1:14" s="6" customFormat="1" x14ac:dyDescent="0.25">
      <c r="A123" s="6">
        <v>120</v>
      </c>
      <c r="C123" s="92">
        <v>42595</v>
      </c>
      <c r="D123" s="6" t="s">
        <v>312</v>
      </c>
      <c r="E123" s="6" t="s">
        <v>298</v>
      </c>
      <c r="F123" s="91">
        <v>515</v>
      </c>
      <c r="G123" s="91"/>
      <c r="H123" s="6">
        <v>100</v>
      </c>
      <c r="J123" s="137">
        <v>10</v>
      </c>
      <c r="K123" s="95">
        <v>3</v>
      </c>
      <c r="L123" s="95">
        <v>24</v>
      </c>
      <c r="M123" s="95"/>
      <c r="N123" s="145">
        <v>0.25208333333333333</v>
      </c>
    </row>
    <row r="124" spans="1:14" s="6" customFormat="1" x14ac:dyDescent="0.25">
      <c r="A124" s="6">
        <v>121</v>
      </c>
      <c r="C124" s="92">
        <v>42601</v>
      </c>
      <c r="D124" s="6" t="s">
        <v>125</v>
      </c>
      <c r="E124" s="6" t="s">
        <v>126</v>
      </c>
      <c r="F124" s="91">
        <v>0</v>
      </c>
      <c r="G124" s="91"/>
      <c r="H124" s="6">
        <v>6</v>
      </c>
      <c r="J124" s="137">
        <v>0</v>
      </c>
      <c r="K124" s="95">
        <v>21</v>
      </c>
      <c r="L124" s="95">
        <v>27</v>
      </c>
      <c r="M124" s="95"/>
      <c r="N124" s="145">
        <v>0.16319444444444445</v>
      </c>
    </row>
    <row r="125" spans="1:14" s="6" customFormat="1" x14ac:dyDescent="0.25">
      <c r="A125" s="6">
        <v>122</v>
      </c>
      <c r="C125" s="92">
        <v>42617</v>
      </c>
      <c r="D125" s="6" t="s">
        <v>189</v>
      </c>
      <c r="E125" s="6" t="s">
        <v>191</v>
      </c>
      <c r="F125" s="91">
        <v>328</v>
      </c>
      <c r="G125" s="91"/>
      <c r="H125" s="6">
        <v>42.195</v>
      </c>
      <c r="J125" s="137">
        <v>3</v>
      </c>
      <c r="K125" s="95">
        <v>11</v>
      </c>
      <c r="L125" s="95">
        <v>11</v>
      </c>
      <c r="M125" s="95"/>
      <c r="N125" s="145">
        <v>0.18819444444444444</v>
      </c>
    </row>
    <row r="126" spans="1:14" s="6" customFormat="1" x14ac:dyDescent="0.25">
      <c r="A126" s="6">
        <v>123</v>
      </c>
      <c r="C126" s="92">
        <v>42624</v>
      </c>
      <c r="D126" s="6" t="s">
        <v>138</v>
      </c>
      <c r="E126" s="6" t="s">
        <v>139</v>
      </c>
      <c r="F126" s="91">
        <v>140</v>
      </c>
      <c r="G126" s="91"/>
      <c r="H126" s="6">
        <v>29</v>
      </c>
      <c r="J126" s="137">
        <v>2</v>
      </c>
      <c r="K126" s="95">
        <v>17</v>
      </c>
      <c r="L126" s="95">
        <v>46</v>
      </c>
      <c r="M126" s="95"/>
      <c r="N126" s="145">
        <v>0.19513888888888889</v>
      </c>
    </row>
    <row r="127" spans="1:14" s="6" customFormat="1" x14ac:dyDescent="0.25">
      <c r="A127" s="6">
        <v>124</v>
      </c>
      <c r="C127" s="92">
        <v>42626</v>
      </c>
      <c r="D127" s="6" t="s">
        <v>345</v>
      </c>
      <c r="E127" s="6" t="s">
        <v>129</v>
      </c>
      <c r="F127" s="91">
        <v>75</v>
      </c>
      <c r="G127" s="91"/>
      <c r="H127" s="6">
        <v>10</v>
      </c>
      <c r="J127" s="137">
        <v>0</v>
      </c>
      <c r="K127" s="95">
        <v>39</v>
      </c>
      <c r="L127" s="95">
        <v>59</v>
      </c>
      <c r="M127" s="95"/>
      <c r="N127" s="145">
        <v>0.16666666666666666</v>
      </c>
    </row>
    <row r="128" spans="1:14" s="6" customFormat="1" x14ac:dyDescent="0.25">
      <c r="A128" s="6">
        <v>125</v>
      </c>
      <c r="C128" s="92">
        <v>42631</v>
      </c>
      <c r="D128" s="6" t="s">
        <v>269</v>
      </c>
      <c r="E128" s="6" t="s">
        <v>74</v>
      </c>
      <c r="F128" s="91">
        <v>0</v>
      </c>
      <c r="G128" s="91"/>
      <c r="H128" s="6">
        <v>21.097000000000001</v>
      </c>
      <c r="J128" s="137">
        <v>1</v>
      </c>
      <c r="K128" s="95">
        <v>29</v>
      </c>
      <c r="L128" s="95">
        <v>38</v>
      </c>
      <c r="M128" s="95"/>
      <c r="N128" s="145">
        <v>0.17708333333333334</v>
      </c>
    </row>
    <row r="129" spans="1:14" s="6" customFormat="1" x14ac:dyDescent="0.25">
      <c r="A129" s="6">
        <v>126</v>
      </c>
      <c r="C129" s="92">
        <v>42645</v>
      </c>
      <c r="D129" s="6" t="s">
        <v>346</v>
      </c>
      <c r="E129" s="6" t="s">
        <v>347</v>
      </c>
      <c r="F129" s="91">
        <v>376</v>
      </c>
      <c r="G129" s="91"/>
      <c r="H129" s="6">
        <v>42.195</v>
      </c>
      <c r="J129" s="137">
        <v>2</v>
      </c>
      <c r="K129" s="95">
        <v>58</v>
      </c>
      <c r="L129" s="95">
        <v>13</v>
      </c>
      <c r="M129" s="95"/>
      <c r="N129" s="145">
        <v>0.1763888888888889</v>
      </c>
    </row>
    <row r="130" spans="1:14" s="6" customFormat="1" x14ac:dyDescent="0.25">
      <c r="A130" s="6">
        <v>127</v>
      </c>
      <c r="C130" s="92">
        <v>42652</v>
      </c>
      <c r="D130" s="6" t="s">
        <v>348</v>
      </c>
      <c r="E130" s="6" t="s">
        <v>118</v>
      </c>
      <c r="F130" s="91">
        <v>61</v>
      </c>
      <c r="G130" s="91"/>
      <c r="H130" s="6">
        <f>5*1.5</f>
        <v>7.5</v>
      </c>
      <c r="J130" s="137"/>
      <c r="K130" s="95">
        <v>35</v>
      </c>
      <c r="L130" s="95">
        <v>7</v>
      </c>
      <c r="M130" s="95"/>
      <c r="N130" s="145">
        <v>0.19097222222222221</v>
      </c>
    </row>
    <row r="131" spans="1:14" s="6" customFormat="1" x14ac:dyDescent="0.25">
      <c r="A131" s="6">
        <v>128</v>
      </c>
      <c r="C131" s="92">
        <v>42658</v>
      </c>
      <c r="D131" s="6" t="s">
        <v>124</v>
      </c>
      <c r="E131" s="6" t="s">
        <v>123</v>
      </c>
      <c r="F131" s="91">
        <v>108</v>
      </c>
      <c r="G131" s="91"/>
      <c r="H131" s="6">
        <v>42.195</v>
      </c>
      <c r="J131" s="137">
        <v>3</v>
      </c>
      <c r="K131" s="95">
        <v>16</v>
      </c>
      <c r="L131" s="95">
        <v>4</v>
      </c>
      <c r="M131" s="95"/>
      <c r="N131" s="145">
        <v>0.19375000000000001</v>
      </c>
    </row>
    <row r="132" spans="1:14" s="6" customFormat="1" x14ac:dyDescent="0.25">
      <c r="A132" s="6">
        <v>129</v>
      </c>
      <c r="C132" s="92">
        <v>42673</v>
      </c>
      <c r="D132" s="6" t="s">
        <v>349</v>
      </c>
      <c r="E132" s="6" t="s">
        <v>350</v>
      </c>
      <c r="F132" s="91">
        <v>131</v>
      </c>
      <c r="G132" s="91"/>
      <c r="H132" s="6">
        <v>12</v>
      </c>
      <c r="J132" s="137">
        <v>0</v>
      </c>
      <c r="K132" s="95">
        <v>46</v>
      </c>
      <c r="L132" s="95">
        <v>50</v>
      </c>
      <c r="M132" s="95"/>
      <c r="N132" s="145">
        <v>0.16250000000000001</v>
      </c>
    </row>
    <row r="133" spans="1:14" s="6" customFormat="1" ht="15.75" thickBot="1" x14ac:dyDescent="0.3">
      <c r="A133" s="151">
        <v>130</v>
      </c>
      <c r="B133" s="151"/>
      <c r="C133" s="150">
        <v>42727</v>
      </c>
      <c r="D133" s="151" t="s">
        <v>124</v>
      </c>
      <c r="E133" s="151" t="s">
        <v>123</v>
      </c>
      <c r="F133" s="163">
        <v>108</v>
      </c>
      <c r="G133" s="163">
        <f>SUM(F106:F133)</f>
        <v>4470.5599999999995</v>
      </c>
      <c r="H133" s="151">
        <v>42.195</v>
      </c>
      <c r="I133" s="151"/>
      <c r="J133" s="164">
        <v>3</v>
      </c>
      <c r="K133" s="165">
        <v>18</v>
      </c>
      <c r="L133" s="165">
        <v>31</v>
      </c>
      <c r="M133" s="165"/>
      <c r="N133" s="152">
        <v>0.19930555555555554</v>
      </c>
    </row>
    <row r="134" spans="1:14" s="6" customFormat="1" x14ac:dyDescent="0.25">
      <c r="A134" s="6">
        <v>131</v>
      </c>
      <c r="C134" s="92">
        <v>42742</v>
      </c>
      <c r="D134" s="6" t="s">
        <v>222</v>
      </c>
      <c r="E134" s="6" t="s">
        <v>129</v>
      </c>
      <c r="F134" s="91">
        <v>50</v>
      </c>
      <c r="G134" s="91"/>
      <c r="H134" s="6">
        <v>42.195</v>
      </c>
      <c r="J134" s="137">
        <v>3</v>
      </c>
      <c r="K134" s="95">
        <v>34</v>
      </c>
      <c r="L134" s="95">
        <v>27</v>
      </c>
      <c r="M134" s="95"/>
      <c r="N134" s="145">
        <v>0.21180555555555555</v>
      </c>
    </row>
    <row r="135" spans="1:14" s="6" customFormat="1" x14ac:dyDescent="0.25">
      <c r="A135" s="6">
        <v>132</v>
      </c>
      <c r="C135" s="92">
        <v>42757</v>
      </c>
      <c r="D135" s="6" t="s">
        <v>63</v>
      </c>
      <c r="E135" s="6" t="s">
        <v>64</v>
      </c>
      <c r="F135" s="91">
        <v>250</v>
      </c>
      <c r="G135" s="91"/>
      <c r="H135" s="6">
        <v>42.195</v>
      </c>
      <c r="J135" s="137">
        <v>3</v>
      </c>
      <c r="K135" s="95">
        <v>8</v>
      </c>
      <c r="L135" s="95">
        <v>49</v>
      </c>
      <c r="M135" s="95"/>
      <c r="N135" s="145">
        <v>0.18611111111111112</v>
      </c>
    </row>
    <row r="136" spans="1:14" s="6" customFormat="1" x14ac:dyDescent="0.25">
      <c r="A136" s="6">
        <v>133</v>
      </c>
      <c r="C136" s="92">
        <v>42785</v>
      </c>
      <c r="D136" s="6" t="s">
        <v>359</v>
      </c>
      <c r="E136" s="6" t="s">
        <v>132</v>
      </c>
      <c r="F136" s="91">
        <v>61</v>
      </c>
      <c r="G136" s="91"/>
      <c r="H136" s="6">
        <v>42.195</v>
      </c>
      <c r="J136" s="137">
        <v>3</v>
      </c>
      <c r="K136" s="95">
        <v>34</v>
      </c>
      <c r="L136" s="95">
        <v>45</v>
      </c>
      <c r="M136" s="95"/>
      <c r="N136" s="145">
        <v>0.21180555555555555</v>
      </c>
    </row>
    <row r="137" spans="1:14" s="6" customFormat="1" x14ac:dyDescent="0.25">
      <c r="A137" s="6">
        <v>134</v>
      </c>
      <c r="C137" s="92">
        <v>42827</v>
      </c>
      <c r="D137" s="6" t="s">
        <v>369</v>
      </c>
      <c r="E137" s="6" t="s">
        <v>355</v>
      </c>
      <c r="F137" s="91">
        <v>462</v>
      </c>
      <c r="G137" s="91"/>
      <c r="H137" s="6">
        <v>42.195</v>
      </c>
      <c r="J137" s="137">
        <v>2</v>
      </c>
      <c r="K137" s="95">
        <v>59</v>
      </c>
      <c r="L137" s="95">
        <v>31</v>
      </c>
      <c r="M137" s="95"/>
      <c r="N137" s="145">
        <v>0.1763888888888889</v>
      </c>
    </row>
    <row r="138" spans="1:14" s="6" customFormat="1" x14ac:dyDescent="0.25">
      <c r="A138" s="6">
        <v>135</v>
      </c>
      <c r="C138" s="92">
        <v>42834</v>
      </c>
      <c r="D138" s="6" t="s">
        <v>167</v>
      </c>
      <c r="E138" s="6" t="s">
        <v>168</v>
      </c>
      <c r="F138" s="91">
        <v>0</v>
      </c>
      <c r="G138" s="91"/>
      <c r="H138" s="6">
        <v>42.195</v>
      </c>
      <c r="J138" s="137">
        <v>3</v>
      </c>
      <c r="K138" s="95">
        <v>14</v>
      </c>
      <c r="L138" s="95">
        <v>48</v>
      </c>
      <c r="M138" s="95"/>
      <c r="N138" s="145">
        <v>0.19236111111111112</v>
      </c>
    </row>
    <row r="139" spans="1:14" s="6" customFormat="1" x14ac:dyDescent="0.25">
      <c r="A139" s="6">
        <v>136</v>
      </c>
      <c r="C139" s="92">
        <v>42861</v>
      </c>
      <c r="D139" s="6" t="s">
        <v>131</v>
      </c>
      <c r="E139" s="6" t="s">
        <v>132</v>
      </c>
      <c r="F139" s="91">
        <v>0</v>
      </c>
      <c r="G139" s="91"/>
      <c r="H139" s="6">
        <v>21.097000000000001</v>
      </c>
      <c r="J139" s="137">
        <v>1</v>
      </c>
      <c r="K139" s="95">
        <v>30</v>
      </c>
      <c r="L139" s="95">
        <v>17</v>
      </c>
      <c r="M139" s="95"/>
      <c r="N139" s="145">
        <v>0.17777777777777778</v>
      </c>
    </row>
    <row r="140" spans="1:14" s="6" customFormat="1" x14ac:dyDescent="0.25">
      <c r="A140" s="6">
        <v>137</v>
      </c>
      <c r="C140" s="92">
        <v>42862</v>
      </c>
      <c r="D140" s="6" t="s">
        <v>142</v>
      </c>
      <c r="E140" s="6" t="s">
        <v>143</v>
      </c>
      <c r="F140" s="91">
        <v>70</v>
      </c>
      <c r="G140" s="91"/>
      <c r="H140" s="6">
        <v>10</v>
      </c>
      <c r="J140" s="137">
        <v>0</v>
      </c>
      <c r="K140" s="95">
        <v>41</v>
      </c>
      <c r="L140" s="95">
        <v>39</v>
      </c>
      <c r="M140" s="95"/>
      <c r="N140" s="145">
        <v>0.17222222222222225</v>
      </c>
    </row>
    <row r="141" spans="1:14" s="6" customFormat="1" x14ac:dyDescent="0.25">
      <c r="A141" s="6">
        <v>138</v>
      </c>
      <c r="C141" s="92">
        <v>42876</v>
      </c>
      <c r="D141" s="6" t="s">
        <v>73</v>
      </c>
      <c r="E141" s="6" t="s">
        <v>74</v>
      </c>
      <c r="F141" s="91">
        <v>0</v>
      </c>
      <c r="G141" s="91"/>
      <c r="H141" s="6">
        <v>42.195</v>
      </c>
      <c r="J141" s="137">
        <v>3</v>
      </c>
      <c r="K141" s="95">
        <v>15</v>
      </c>
      <c r="L141" s="95">
        <v>12</v>
      </c>
      <c r="M141" s="95"/>
      <c r="N141" s="145">
        <v>0.19236111111111112</v>
      </c>
    </row>
    <row r="142" spans="1:14" s="6" customFormat="1" x14ac:dyDescent="0.25">
      <c r="A142" s="6">
        <v>139</v>
      </c>
      <c r="C142" s="92">
        <v>42890</v>
      </c>
      <c r="D142" s="6" t="s">
        <v>357</v>
      </c>
      <c r="E142" s="6" t="s">
        <v>358</v>
      </c>
      <c r="F142" s="91">
        <v>290</v>
      </c>
      <c r="G142" s="91"/>
      <c r="H142" s="6">
        <v>42.195</v>
      </c>
      <c r="J142" s="137">
        <v>3</v>
      </c>
      <c r="K142" s="95">
        <v>13</v>
      </c>
      <c r="L142" s="95">
        <v>53</v>
      </c>
      <c r="M142" s="95"/>
      <c r="N142" s="145">
        <v>0.19097222222222221</v>
      </c>
    </row>
    <row r="143" spans="1:14" s="6" customFormat="1" x14ac:dyDescent="0.25">
      <c r="A143" s="6">
        <v>140</v>
      </c>
      <c r="C143" s="92">
        <v>42943</v>
      </c>
      <c r="D143" s="6" t="s">
        <v>222</v>
      </c>
      <c r="E143" s="6" t="s">
        <v>129</v>
      </c>
      <c r="F143" s="91">
        <v>75</v>
      </c>
      <c r="G143" s="91"/>
      <c r="H143" s="6">
        <v>42.195</v>
      </c>
      <c r="J143" s="137">
        <v>3</v>
      </c>
      <c r="K143" s="95">
        <v>38</v>
      </c>
      <c r="L143" s="95">
        <v>2</v>
      </c>
      <c r="M143" s="95"/>
      <c r="N143" s="145">
        <v>0.21458333333333335</v>
      </c>
    </row>
    <row r="144" spans="1:14" s="6" customFormat="1" x14ac:dyDescent="0.25">
      <c r="A144" s="6">
        <v>141</v>
      </c>
      <c r="C144" s="92">
        <v>42959</v>
      </c>
      <c r="D144" s="6" t="s">
        <v>370</v>
      </c>
      <c r="E144" s="6" t="s">
        <v>371</v>
      </c>
      <c r="F144" s="91">
        <f>189*7.54</f>
        <v>1425.06</v>
      </c>
      <c r="G144" s="91"/>
      <c r="H144" s="6">
        <v>160.9</v>
      </c>
      <c r="J144" s="137">
        <v>22</v>
      </c>
      <c r="K144" s="95">
        <v>46</v>
      </c>
      <c r="L144" s="95">
        <v>45</v>
      </c>
      <c r="M144" s="95"/>
      <c r="N144" s="145">
        <v>0.3520833333333333</v>
      </c>
    </row>
    <row r="145" spans="1:14" s="6" customFormat="1" x14ac:dyDescent="0.25">
      <c r="A145" s="6">
        <v>142</v>
      </c>
      <c r="C145" s="92">
        <v>42986</v>
      </c>
      <c r="D145" s="6" t="s">
        <v>125</v>
      </c>
      <c r="E145" s="6" t="s">
        <v>126</v>
      </c>
      <c r="F145" s="91">
        <v>0</v>
      </c>
      <c r="G145" s="91"/>
      <c r="H145" s="6">
        <v>6</v>
      </c>
      <c r="J145" s="137"/>
      <c r="K145" s="95">
        <v>27</v>
      </c>
      <c r="L145" s="95">
        <v>10</v>
      </c>
      <c r="M145" s="95"/>
      <c r="N145" s="145">
        <v>0.21527777777777779</v>
      </c>
    </row>
    <row r="146" spans="1:14" s="6" customFormat="1" x14ac:dyDescent="0.25">
      <c r="A146" s="6">
        <v>143</v>
      </c>
      <c r="C146" s="92">
        <v>42995</v>
      </c>
      <c r="D146" s="6" t="s">
        <v>269</v>
      </c>
      <c r="E146" s="6" t="s">
        <v>74</v>
      </c>
      <c r="F146" s="91">
        <v>0</v>
      </c>
      <c r="G146" s="91"/>
      <c r="H146" s="6">
        <v>21.097000000000001</v>
      </c>
      <c r="J146" s="137">
        <v>1</v>
      </c>
      <c r="K146" s="95">
        <v>34</v>
      </c>
      <c r="L146" s="95">
        <v>47</v>
      </c>
      <c r="M146" s="95"/>
      <c r="N146" s="145">
        <v>0.17777777777777778</v>
      </c>
    </row>
    <row r="147" spans="1:14" s="6" customFormat="1" x14ac:dyDescent="0.25">
      <c r="A147" s="6">
        <v>144</v>
      </c>
      <c r="C147" s="92">
        <v>43001</v>
      </c>
      <c r="D147" s="6" t="s">
        <v>408</v>
      </c>
      <c r="E147" s="6" t="s">
        <v>405</v>
      </c>
      <c r="F147" s="91">
        <v>100</v>
      </c>
      <c r="G147" s="91"/>
      <c r="H147" s="6">
        <v>42.195</v>
      </c>
      <c r="J147" s="137">
        <v>3</v>
      </c>
      <c r="K147" s="95">
        <v>55</v>
      </c>
      <c r="L147" s="95">
        <v>5</v>
      </c>
      <c r="M147" s="95"/>
      <c r="N147" s="145">
        <v>0.23611111111111113</v>
      </c>
    </row>
    <row r="148" spans="1:14" s="6" customFormat="1" x14ac:dyDescent="0.25">
      <c r="A148" s="6">
        <v>145</v>
      </c>
      <c r="C148" s="92">
        <v>43009</v>
      </c>
      <c r="D148" s="6" t="s">
        <v>122</v>
      </c>
      <c r="E148" s="6" t="s">
        <v>123</v>
      </c>
      <c r="F148" s="91">
        <v>0</v>
      </c>
      <c r="G148" s="91"/>
      <c r="H148" s="6">
        <v>42.195</v>
      </c>
      <c r="J148" s="137">
        <v>3</v>
      </c>
      <c r="K148" s="95">
        <v>21</v>
      </c>
      <c r="L148" s="95">
        <v>47</v>
      </c>
      <c r="M148" s="95"/>
      <c r="N148" s="145">
        <v>0.1986111111111111</v>
      </c>
    </row>
    <row r="149" spans="1:14" s="6" customFormat="1" x14ac:dyDescent="0.25">
      <c r="A149" s="6">
        <v>146</v>
      </c>
      <c r="C149" s="92">
        <v>43023</v>
      </c>
      <c r="D149" s="6" t="s">
        <v>406</v>
      </c>
      <c r="E149" s="6" t="s">
        <v>407</v>
      </c>
      <c r="F149" s="91">
        <v>565</v>
      </c>
      <c r="G149" s="91"/>
      <c r="H149" s="6">
        <v>42.195</v>
      </c>
      <c r="J149" s="137">
        <v>3</v>
      </c>
      <c r="K149" s="95">
        <v>15</v>
      </c>
      <c r="L149" s="95">
        <v>14</v>
      </c>
      <c r="M149" s="95"/>
      <c r="N149" s="145">
        <v>0.19236111111111112</v>
      </c>
    </row>
    <row r="150" spans="1:14" s="6" customFormat="1" x14ac:dyDescent="0.25">
      <c r="A150" s="6">
        <v>147</v>
      </c>
      <c r="C150" s="92">
        <v>43037</v>
      </c>
      <c r="D150" s="6" t="s">
        <v>349</v>
      </c>
      <c r="E150" s="6" t="s">
        <v>350</v>
      </c>
      <c r="F150" s="91">
        <v>130</v>
      </c>
      <c r="G150" s="91"/>
      <c r="H150" s="6">
        <v>12</v>
      </c>
      <c r="J150" s="137"/>
      <c r="K150" s="95">
        <v>49</v>
      </c>
      <c r="L150" s="95">
        <v>0</v>
      </c>
      <c r="M150" s="95"/>
      <c r="N150" s="145">
        <v>0.17013888888888887</v>
      </c>
    </row>
    <row r="151" spans="1:14" s="6" customFormat="1" x14ac:dyDescent="0.25">
      <c r="A151" s="6">
        <v>148</v>
      </c>
      <c r="C151" s="92">
        <v>43043</v>
      </c>
      <c r="D151" s="6" t="s">
        <v>409</v>
      </c>
      <c r="E151" s="6" t="s">
        <v>414</v>
      </c>
      <c r="F151" s="91">
        <v>100</v>
      </c>
      <c r="G151" s="91"/>
      <c r="H151" s="6">
        <v>42.195</v>
      </c>
      <c r="J151" s="137">
        <v>3</v>
      </c>
      <c r="K151" s="95">
        <v>28</v>
      </c>
      <c r="L151" s="95">
        <v>34</v>
      </c>
      <c r="M151" s="95"/>
      <c r="N151" s="145">
        <v>0.20972222222222223</v>
      </c>
    </row>
    <row r="152" spans="1:14" s="6" customFormat="1" x14ac:dyDescent="0.25">
      <c r="A152" s="6">
        <v>149</v>
      </c>
      <c r="C152" s="92">
        <v>43060</v>
      </c>
      <c r="D152" s="6" t="s">
        <v>419</v>
      </c>
      <c r="E152" s="6" t="s">
        <v>64</v>
      </c>
      <c r="F152" s="91">
        <v>245</v>
      </c>
      <c r="G152" s="91"/>
      <c r="H152" s="6">
        <v>21.14</v>
      </c>
      <c r="J152" s="137">
        <v>2</v>
      </c>
      <c r="K152" s="95">
        <v>16</v>
      </c>
      <c r="L152" s="95">
        <v>25</v>
      </c>
      <c r="M152" s="95"/>
      <c r="N152" s="145">
        <v>0.26874999999999999</v>
      </c>
    </row>
    <row r="153" spans="1:14" s="6" customFormat="1" x14ac:dyDescent="0.25">
      <c r="A153" s="6">
        <v>150</v>
      </c>
      <c r="C153" s="92">
        <v>43088</v>
      </c>
      <c r="D153" s="6" t="s">
        <v>423</v>
      </c>
      <c r="E153" s="6" t="s">
        <v>424</v>
      </c>
      <c r="F153" s="91">
        <v>100</v>
      </c>
      <c r="G153" s="91"/>
      <c r="H153" s="6">
        <v>42.195</v>
      </c>
      <c r="J153" s="137">
        <v>3</v>
      </c>
      <c r="K153" s="95">
        <v>25</v>
      </c>
      <c r="L153" s="95">
        <v>19</v>
      </c>
      <c r="M153" s="95"/>
      <c r="N153" s="145">
        <v>0.20277777777777781</v>
      </c>
    </row>
    <row r="154" spans="1:14" s="6" customFormat="1" x14ac:dyDescent="0.25">
      <c r="A154" s="6">
        <v>151</v>
      </c>
      <c r="C154" s="92">
        <v>43092</v>
      </c>
      <c r="D154" s="6" t="s">
        <v>124</v>
      </c>
      <c r="E154" s="6" t="s">
        <v>123</v>
      </c>
      <c r="F154" s="91">
        <v>109</v>
      </c>
      <c r="G154" s="91"/>
      <c r="H154" s="6">
        <v>42.195</v>
      </c>
      <c r="J154" s="137">
        <v>3</v>
      </c>
      <c r="K154" s="95">
        <v>16</v>
      </c>
      <c r="L154" s="95">
        <v>17</v>
      </c>
      <c r="M154" s="95"/>
      <c r="N154" s="145">
        <v>0.19375000000000001</v>
      </c>
    </row>
    <row r="155" spans="1:14" s="6" customFormat="1" ht="15.75" thickBot="1" x14ac:dyDescent="0.3">
      <c r="A155" s="151">
        <v>152</v>
      </c>
      <c r="B155" s="151"/>
      <c r="C155" s="150">
        <v>43100</v>
      </c>
      <c r="D155" s="151" t="s">
        <v>420</v>
      </c>
      <c r="E155" s="151" t="s">
        <v>129</v>
      </c>
      <c r="F155" s="163">
        <v>158</v>
      </c>
      <c r="G155" s="163">
        <f>SUM(F134:F155)</f>
        <v>4190.0599999999995</v>
      </c>
      <c r="H155" s="151">
        <v>42.195</v>
      </c>
      <c r="I155" s="151"/>
      <c r="J155" s="164">
        <v>3</v>
      </c>
      <c r="K155" s="165">
        <v>20</v>
      </c>
      <c r="L155" s="165">
        <v>12</v>
      </c>
      <c r="M155" s="165"/>
      <c r="N155" s="152">
        <v>0.19791666666666666</v>
      </c>
    </row>
    <row r="156" spans="1:14" s="6" customFormat="1" x14ac:dyDescent="0.25">
      <c r="A156" s="6">
        <v>153</v>
      </c>
      <c r="C156" s="92">
        <v>43107</v>
      </c>
      <c r="D156" s="6" t="s">
        <v>222</v>
      </c>
      <c r="E156" s="6" t="s">
        <v>129</v>
      </c>
      <c r="F156" s="91">
        <v>60</v>
      </c>
      <c r="G156" s="91"/>
      <c r="H156" s="6">
        <v>42.195</v>
      </c>
      <c r="J156" s="137">
        <v>3</v>
      </c>
      <c r="K156" s="95">
        <v>12</v>
      </c>
      <c r="L156" s="95">
        <v>41</v>
      </c>
      <c r="M156" s="95"/>
      <c r="N156" s="145">
        <v>0.19027777777777777</v>
      </c>
    </row>
    <row r="157" spans="1:14" s="6" customFormat="1" x14ac:dyDescent="0.25">
      <c r="A157" s="6">
        <v>154</v>
      </c>
      <c r="C157" s="92">
        <v>43121</v>
      </c>
      <c r="D157" s="6" t="s">
        <v>63</v>
      </c>
      <c r="E157" s="6" t="s">
        <v>64</v>
      </c>
      <c r="F157" s="91">
        <v>225</v>
      </c>
      <c r="G157" s="91"/>
      <c r="H157" s="6">
        <v>42.195</v>
      </c>
      <c r="J157" s="137">
        <v>3</v>
      </c>
      <c r="K157" s="95">
        <v>1</v>
      </c>
      <c r="L157" s="95">
        <v>55</v>
      </c>
      <c r="M157" s="95"/>
      <c r="N157" s="145">
        <v>0.17986111111111111</v>
      </c>
    </row>
    <row r="158" spans="1:14" s="6" customFormat="1" x14ac:dyDescent="0.25">
      <c r="A158" s="6">
        <v>155</v>
      </c>
      <c r="C158" s="92">
        <v>43128</v>
      </c>
      <c r="D158" s="6" t="s">
        <v>433</v>
      </c>
      <c r="E158" s="6" t="s">
        <v>123</v>
      </c>
      <c r="F158" s="91">
        <v>100</v>
      </c>
      <c r="G158" s="91"/>
      <c r="H158" s="6">
        <v>42.195</v>
      </c>
      <c r="J158" s="137">
        <v>3</v>
      </c>
      <c r="K158" s="95">
        <v>24</v>
      </c>
      <c r="L158" s="95">
        <v>8</v>
      </c>
      <c r="M158" s="95"/>
      <c r="N158" s="145">
        <v>0.20138888888888887</v>
      </c>
    </row>
    <row r="159" spans="1:14" s="6" customFormat="1" x14ac:dyDescent="0.25">
      <c r="A159" s="6">
        <v>156</v>
      </c>
      <c r="C159" s="92">
        <v>43134</v>
      </c>
      <c r="D159" s="6" t="s">
        <v>434</v>
      </c>
      <c r="E159" s="6" t="s">
        <v>123</v>
      </c>
      <c r="F159" s="91">
        <v>190</v>
      </c>
      <c r="G159" s="91"/>
      <c r="H159" s="6">
        <v>42.195</v>
      </c>
      <c r="J159" s="137">
        <v>3</v>
      </c>
      <c r="K159" s="95">
        <v>9</v>
      </c>
      <c r="L159" s="95">
        <v>29</v>
      </c>
      <c r="M159" s="95"/>
      <c r="N159" s="145">
        <v>0.18680555555555556</v>
      </c>
    </row>
    <row r="160" spans="1:14" s="6" customFormat="1" x14ac:dyDescent="0.25">
      <c r="A160" s="6">
        <v>157</v>
      </c>
      <c r="C160" s="92">
        <v>43156</v>
      </c>
      <c r="D160" s="6" t="s">
        <v>421</v>
      </c>
      <c r="E160" s="6" t="s">
        <v>436</v>
      </c>
      <c r="F160" s="91">
        <v>377</v>
      </c>
      <c r="G160" s="91"/>
      <c r="H160" s="6">
        <v>42.195</v>
      </c>
      <c r="J160" s="137">
        <v>2</v>
      </c>
      <c r="K160" s="95">
        <v>59</v>
      </c>
      <c r="L160" s="95">
        <v>40</v>
      </c>
      <c r="M160" s="95"/>
      <c r="N160" s="145">
        <v>0.17708333333333334</v>
      </c>
    </row>
    <row r="161" spans="1:14" s="6" customFormat="1" x14ac:dyDescent="0.25">
      <c r="A161" s="6">
        <v>158</v>
      </c>
      <c r="C161" s="92">
        <v>43184</v>
      </c>
      <c r="D161" s="6" t="s">
        <v>437</v>
      </c>
      <c r="E161" s="6" t="s">
        <v>165</v>
      </c>
      <c r="F161" s="91">
        <v>0</v>
      </c>
      <c r="G161" s="91"/>
      <c r="H161" s="6">
        <v>42.195</v>
      </c>
      <c r="J161" s="137">
        <v>3</v>
      </c>
      <c r="K161" s="95">
        <v>34</v>
      </c>
      <c r="L161" s="95">
        <v>55</v>
      </c>
      <c r="M161" s="95"/>
      <c r="N161" s="145">
        <v>0.21249999999999999</v>
      </c>
    </row>
    <row r="162" spans="1:14" s="6" customFormat="1" x14ac:dyDescent="0.25">
      <c r="A162" s="6">
        <v>159</v>
      </c>
      <c r="C162" s="92">
        <v>43188</v>
      </c>
      <c r="D162" s="6" t="s">
        <v>438</v>
      </c>
      <c r="E162" s="6" t="s">
        <v>439</v>
      </c>
      <c r="F162" s="91">
        <v>80</v>
      </c>
      <c r="G162" s="91"/>
      <c r="H162" s="6">
        <v>42.195</v>
      </c>
      <c r="J162" s="137">
        <v>3</v>
      </c>
      <c r="K162" s="95">
        <v>18</v>
      </c>
      <c r="L162" s="95">
        <v>15</v>
      </c>
      <c r="M162" s="95"/>
      <c r="N162" s="145">
        <v>0.19583333333333333</v>
      </c>
    </row>
    <row r="163" spans="1:14" s="6" customFormat="1" x14ac:dyDescent="0.25">
      <c r="A163" s="6">
        <v>160</v>
      </c>
      <c r="C163" s="92">
        <v>43205</v>
      </c>
      <c r="D163" s="6" t="s">
        <v>410</v>
      </c>
      <c r="E163" s="6" t="s">
        <v>440</v>
      </c>
      <c r="F163" s="91">
        <v>100</v>
      </c>
      <c r="G163" s="91"/>
      <c r="H163" s="6">
        <v>42.195</v>
      </c>
      <c r="J163" s="137">
        <v>3</v>
      </c>
      <c r="K163" s="95">
        <v>10</v>
      </c>
      <c r="L163" s="95">
        <v>25</v>
      </c>
      <c r="M163" s="95"/>
      <c r="N163" s="145">
        <v>0.18819444444444444</v>
      </c>
    </row>
    <row r="164" spans="1:14" s="6" customFormat="1" x14ac:dyDescent="0.25">
      <c r="A164" s="6">
        <v>161</v>
      </c>
      <c r="C164" s="92">
        <v>43219</v>
      </c>
      <c r="D164" s="6" t="s">
        <v>70</v>
      </c>
      <c r="E164" s="6" t="s">
        <v>71</v>
      </c>
      <c r="F164" s="91">
        <v>358</v>
      </c>
      <c r="G164" s="91"/>
      <c r="H164" s="6">
        <v>42.195</v>
      </c>
      <c r="J164" s="137">
        <v>3</v>
      </c>
      <c r="K164" s="95">
        <v>12</v>
      </c>
      <c r="L164" s="95">
        <v>13</v>
      </c>
      <c r="M164" s="95"/>
      <c r="N164" s="145">
        <v>0.18958333333333333</v>
      </c>
    </row>
    <row r="165" spans="1:14" s="6" customFormat="1" x14ac:dyDescent="0.25">
      <c r="A165" s="6">
        <v>162</v>
      </c>
      <c r="C165" s="92">
        <v>43226</v>
      </c>
      <c r="D165" s="6" t="s">
        <v>142</v>
      </c>
      <c r="E165" s="6" t="s">
        <v>143</v>
      </c>
      <c r="F165" s="91">
        <v>0</v>
      </c>
      <c r="G165" s="91"/>
      <c r="H165" s="6">
        <v>10</v>
      </c>
      <c r="J165" s="137">
        <v>0</v>
      </c>
      <c r="K165" s="95">
        <v>41</v>
      </c>
      <c r="L165" s="95">
        <v>34</v>
      </c>
      <c r="M165" s="95"/>
      <c r="N165" s="145">
        <v>0.17152777777777775</v>
      </c>
    </row>
    <row r="166" spans="1:14" s="6" customFormat="1" x14ac:dyDescent="0.25">
      <c r="A166" s="6">
        <v>163</v>
      </c>
      <c r="C166" s="92">
        <v>43226</v>
      </c>
      <c r="D166" s="6" t="s">
        <v>441</v>
      </c>
      <c r="E166" s="6" t="s">
        <v>442</v>
      </c>
      <c r="F166" s="91">
        <v>70</v>
      </c>
      <c r="G166" s="91"/>
      <c r="H166" s="6">
        <v>5</v>
      </c>
      <c r="J166" s="137">
        <v>0</v>
      </c>
      <c r="K166" s="95">
        <v>31</v>
      </c>
      <c r="L166" s="95">
        <v>8</v>
      </c>
      <c r="M166" s="95"/>
      <c r="N166" s="145">
        <v>0.26458333333333334</v>
      </c>
    </row>
    <row r="167" spans="1:14" s="6" customFormat="1" x14ac:dyDescent="0.25">
      <c r="A167" s="6">
        <v>165</v>
      </c>
      <c r="C167" s="92">
        <v>43230</v>
      </c>
      <c r="D167" s="6" t="s">
        <v>215</v>
      </c>
      <c r="E167" s="6" t="s">
        <v>126</v>
      </c>
      <c r="F167" s="91">
        <v>850</v>
      </c>
      <c r="G167" s="91"/>
      <c r="H167" s="6">
        <v>100</v>
      </c>
      <c r="J167" s="137">
        <v>11</v>
      </c>
      <c r="K167" s="95">
        <v>6</v>
      </c>
      <c r="L167" s="95">
        <v>21</v>
      </c>
      <c r="M167" s="95"/>
      <c r="N167" s="145">
        <v>0.2722222222222222</v>
      </c>
    </row>
    <row r="168" spans="1:14" s="6" customFormat="1" x14ac:dyDescent="0.25">
      <c r="A168" s="6">
        <v>165</v>
      </c>
      <c r="C168" s="92">
        <v>43233</v>
      </c>
      <c r="D168" s="6" t="s">
        <v>73</v>
      </c>
      <c r="E168" s="6" t="s">
        <v>74</v>
      </c>
      <c r="F168" s="91">
        <v>0</v>
      </c>
      <c r="G168" s="91"/>
      <c r="H168" s="6">
        <v>42.195</v>
      </c>
      <c r="J168" s="137">
        <v>3</v>
      </c>
      <c r="K168" s="95">
        <v>15</v>
      </c>
      <c r="L168" s="95">
        <v>5</v>
      </c>
      <c r="M168" s="95"/>
      <c r="N168" s="145">
        <v>0.19236111111111112</v>
      </c>
    </row>
    <row r="169" spans="1:14" s="6" customFormat="1" x14ac:dyDescent="0.25">
      <c r="A169" s="6">
        <v>166</v>
      </c>
      <c r="C169" s="92">
        <v>43254</v>
      </c>
      <c r="D169" s="6" t="s">
        <v>428</v>
      </c>
      <c r="E169" s="6" t="s">
        <v>443</v>
      </c>
      <c r="F169" s="91">
        <v>161</v>
      </c>
      <c r="G169" s="91"/>
      <c r="H169" s="6">
        <v>42.195</v>
      </c>
      <c r="J169" s="137">
        <v>3</v>
      </c>
      <c r="K169" s="95">
        <v>12</v>
      </c>
      <c r="L169" s="95">
        <v>42</v>
      </c>
      <c r="M169" s="95"/>
      <c r="N169" s="145">
        <v>0.18888888888888888</v>
      </c>
    </row>
    <row r="170" spans="1:14" s="6" customFormat="1" x14ac:dyDescent="0.25">
      <c r="A170" s="6">
        <v>167</v>
      </c>
      <c r="C170" s="92">
        <v>43261</v>
      </c>
      <c r="D170" s="6" t="s">
        <v>357</v>
      </c>
      <c r="E170" s="6" t="s">
        <v>358</v>
      </c>
      <c r="F170" s="91">
        <v>263</v>
      </c>
      <c r="G170" s="91"/>
      <c r="H170" s="6">
        <v>42.195</v>
      </c>
      <c r="J170" s="137">
        <v>3</v>
      </c>
      <c r="K170" s="95">
        <v>11</v>
      </c>
      <c r="L170" s="95">
        <v>37</v>
      </c>
      <c r="M170" s="95"/>
      <c r="N170" s="145">
        <v>0.18819444444444444</v>
      </c>
    </row>
    <row r="171" spans="1:14" s="6" customFormat="1" x14ac:dyDescent="0.25">
      <c r="A171" s="6">
        <v>168</v>
      </c>
      <c r="C171" s="92">
        <v>43274</v>
      </c>
      <c r="D171" s="6" t="s">
        <v>174</v>
      </c>
      <c r="E171" s="6" t="s">
        <v>175</v>
      </c>
      <c r="F171" s="91">
        <v>200</v>
      </c>
      <c r="G171" s="91"/>
      <c r="H171" s="6">
        <v>42.195</v>
      </c>
      <c r="J171" s="137">
        <v>3</v>
      </c>
      <c r="K171" s="95">
        <v>15</v>
      </c>
      <c r="L171" s="95">
        <v>18</v>
      </c>
      <c r="M171" s="95"/>
      <c r="N171" s="145">
        <v>0.19236111111111112</v>
      </c>
    </row>
    <row r="172" spans="1:14" s="6" customFormat="1" x14ac:dyDescent="0.25">
      <c r="A172" s="6">
        <v>169</v>
      </c>
      <c r="C172" s="92">
        <v>43323</v>
      </c>
      <c r="D172" s="6" t="s">
        <v>370</v>
      </c>
      <c r="E172" s="6" t="s">
        <v>371</v>
      </c>
      <c r="F172" s="91">
        <f>189*7.55</f>
        <v>1426.95</v>
      </c>
      <c r="G172" s="91"/>
      <c r="H172" s="6">
        <v>160.9</v>
      </c>
      <c r="J172" s="137">
        <v>19</v>
      </c>
      <c r="K172" s="95">
        <v>4</v>
      </c>
      <c r="L172" s="95">
        <v>43</v>
      </c>
      <c r="M172" s="95"/>
      <c r="N172" s="145">
        <v>0.29444444444444445</v>
      </c>
    </row>
    <row r="173" spans="1:14" s="6" customFormat="1" x14ac:dyDescent="0.25">
      <c r="A173" s="6">
        <v>170</v>
      </c>
      <c r="C173" s="92">
        <v>43337</v>
      </c>
      <c r="D173" s="6" t="s">
        <v>117</v>
      </c>
      <c r="E173" s="6" t="s">
        <v>118</v>
      </c>
      <c r="F173" s="91">
        <v>0</v>
      </c>
      <c r="G173" s="91"/>
      <c r="H173" s="6">
        <v>42.195</v>
      </c>
      <c r="J173" s="137">
        <v>3</v>
      </c>
      <c r="K173" s="95">
        <v>48</v>
      </c>
      <c r="L173" s="95">
        <v>52</v>
      </c>
      <c r="M173" s="95"/>
      <c r="N173" s="145">
        <v>0.22638888888888889</v>
      </c>
    </row>
    <row r="174" spans="1:14" s="6" customFormat="1" x14ac:dyDescent="0.25">
      <c r="A174" s="6">
        <v>171</v>
      </c>
      <c r="C174" s="92">
        <v>43352</v>
      </c>
      <c r="D174" s="6" t="s">
        <v>138</v>
      </c>
      <c r="E174" s="6" t="s">
        <v>139</v>
      </c>
      <c r="F174" s="91">
        <v>0</v>
      </c>
      <c r="G174" s="91"/>
      <c r="H174" s="6">
        <v>29.2</v>
      </c>
      <c r="J174" s="137">
        <v>2</v>
      </c>
      <c r="K174" s="95">
        <v>20</v>
      </c>
      <c r="L174" s="95">
        <v>22</v>
      </c>
      <c r="M174" s="95"/>
      <c r="N174" s="145">
        <v>0.20069444444444443</v>
      </c>
    </row>
    <row r="175" spans="1:14" s="6" customFormat="1" x14ac:dyDescent="0.25">
      <c r="A175" s="6">
        <v>172</v>
      </c>
      <c r="C175" s="92">
        <v>43359</v>
      </c>
      <c r="D175" s="6" t="s">
        <v>422</v>
      </c>
      <c r="E175" s="6" t="s">
        <v>371</v>
      </c>
      <c r="F175" s="91">
        <v>853</v>
      </c>
      <c r="G175" s="91"/>
      <c r="H175" s="6">
        <v>42.195</v>
      </c>
      <c r="J175" s="137">
        <v>3</v>
      </c>
      <c r="K175" s="95">
        <v>9</v>
      </c>
      <c r="L175" s="95">
        <v>8</v>
      </c>
      <c r="M175" s="95"/>
      <c r="N175" s="145">
        <v>0.18680555555555556</v>
      </c>
    </row>
    <row r="176" spans="1:14" s="6" customFormat="1" x14ac:dyDescent="0.25">
      <c r="A176" s="6">
        <v>173</v>
      </c>
      <c r="C176" s="92">
        <v>43373</v>
      </c>
      <c r="D176" s="6" t="s">
        <v>122</v>
      </c>
      <c r="E176" s="6" t="s">
        <v>123</v>
      </c>
      <c r="F176" s="91">
        <v>0</v>
      </c>
      <c r="G176" s="91"/>
      <c r="H176" s="6">
        <v>42.195</v>
      </c>
      <c r="J176" s="137">
        <v>3</v>
      </c>
      <c r="K176" s="95">
        <v>10</v>
      </c>
      <c r="L176" s="95">
        <v>37</v>
      </c>
      <c r="M176" s="95"/>
      <c r="N176" s="145">
        <v>0.1875</v>
      </c>
    </row>
    <row r="177" spans="1:14" s="6" customFormat="1" x14ac:dyDescent="0.25">
      <c r="A177" s="6">
        <v>174</v>
      </c>
      <c r="C177" s="92">
        <v>43380</v>
      </c>
      <c r="D177" s="6" t="s">
        <v>432</v>
      </c>
      <c r="E177" s="6" t="s">
        <v>453</v>
      </c>
      <c r="F177" s="91">
        <v>492</v>
      </c>
      <c r="G177" s="91"/>
      <c r="H177" s="6">
        <v>42.195</v>
      </c>
      <c r="J177" s="137">
        <v>3</v>
      </c>
      <c r="K177" s="95">
        <v>8</v>
      </c>
      <c r="L177" s="95">
        <v>1</v>
      </c>
      <c r="M177" s="95"/>
      <c r="N177" s="145">
        <v>0.18472222222222223</v>
      </c>
    </row>
    <row r="178" spans="1:14" s="6" customFormat="1" x14ac:dyDescent="0.25">
      <c r="A178" s="6">
        <v>175</v>
      </c>
      <c r="C178" s="92"/>
      <c r="F178" s="91"/>
      <c r="G178" s="91"/>
      <c r="J178" s="137"/>
      <c r="K178" s="95"/>
      <c r="L178" s="95"/>
      <c r="M178" s="95"/>
      <c r="N178" s="145"/>
    </row>
    <row r="179" spans="1:14" s="6" customFormat="1" x14ac:dyDescent="0.25">
      <c r="C179" s="92"/>
      <c r="F179" s="91"/>
      <c r="G179" s="91"/>
      <c r="J179" s="137"/>
      <c r="K179" s="95"/>
      <c r="L179" s="95"/>
      <c r="M179" s="95"/>
      <c r="N179" s="145"/>
    </row>
    <row r="180" spans="1:14" s="6" customFormat="1" x14ac:dyDescent="0.25">
      <c r="C180" s="92"/>
      <c r="F180" s="91"/>
      <c r="G180" s="91"/>
      <c r="J180" s="137"/>
      <c r="K180" s="95"/>
      <c r="L180" s="95"/>
      <c r="M180" s="95"/>
      <c r="N180" s="145"/>
    </row>
    <row r="181" spans="1:14" s="6" customFormat="1" x14ac:dyDescent="0.25">
      <c r="C181" s="92"/>
      <c r="F181" s="91"/>
      <c r="G181" s="91"/>
      <c r="J181" s="137"/>
      <c r="K181" s="95"/>
      <c r="L181" s="95"/>
      <c r="M181" s="95"/>
      <c r="N181" s="145"/>
    </row>
    <row r="182" spans="1:14" s="6" customFormat="1" x14ac:dyDescent="0.25">
      <c r="C182" s="92"/>
      <c r="F182" s="91"/>
      <c r="G182" s="91"/>
      <c r="J182" s="137"/>
      <c r="K182" s="95"/>
      <c r="L182" s="95"/>
      <c r="M182" s="95"/>
      <c r="N182" s="145"/>
    </row>
    <row r="183" spans="1:14" s="6" customFormat="1" x14ac:dyDescent="0.25">
      <c r="C183" s="92"/>
      <c r="F183" s="91"/>
      <c r="G183" s="91"/>
      <c r="J183" s="137"/>
      <c r="K183" s="95"/>
      <c r="L183" s="95"/>
      <c r="M183" s="95"/>
      <c r="N183" s="145"/>
    </row>
    <row r="184" spans="1:14" s="6" customFormat="1" x14ac:dyDescent="0.25">
      <c r="C184" s="92"/>
      <c r="F184" s="91"/>
      <c r="G184" s="91"/>
      <c r="J184" s="137"/>
      <c r="K184" s="95"/>
      <c r="L184" s="95"/>
      <c r="M184" s="95"/>
      <c r="N184" s="145"/>
    </row>
    <row r="185" spans="1:14" s="6" customFormat="1" x14ac:dyDescent="0.25">
      <c r="C185" s="92"/>
      <c r="G185" s="91"/>
      <c r="J185" s="137"/>
      <c r="K185" s="95"/>
      <c r="L185" s="95"/>
      <c r="M185" s="95"/>
    </row>
    <row r="186" spans="1:14" s="6" customFormat="1" x14ac:dyDescent="0.25">
      <c r="C186" s="92"/>
      <c r="F186" s="91">
        <f>SUM(F4:F185)</f>
        <v>30560.270000000004</v>
      </c>
      <c r="G186" s="91"/>
      <c r="H186" s="91">
        <f>SUM(H4:H185)</f>
        <v>5997.8559999999952</v>
      </c>
      <c r="J186" s="137"/>
      <c r="K186" s="95"/>
      <c r="L186" s="95"/>
      <c r="M186" s="95"/>
    </row>
    <row r="187" spans="1:14" x14ac:dyDescent="0.25">
      <c r="A187" s="6"/>
      <c r="B187" s="6"/>
      <c r="J187" s="138"/>
    </row>
    <row r="188" spans="1:14" x14ac:dyDescent="0.25">
      <c r="A188" s="6"/>
      <c r="B188" s="6"/>
      <c r="J188" s="138"/>
    </row>
    <row r="189" spans="1:14" x14ac:dyDescent="0.25">
      <c r="A189" s="6"/>
      <c r="B189" s="6"/>
      <c r="J189" s="138"/>
    </row>
    <row r="190" spans="1:14" x14ac:dyDescent="0.25">
      <c r="A190" s="6"/>
      <c r="B190" s="6"/>
      <c r="J190" s="138"/>
    </row>
    <row r="191" spans="1:14" x14ac:dyDescent="0.25">
      <c r="A191" s="6"/>
      <c r="B191" s="6"/>
      <c r="J191" s="138"/>
    </row>
    <row r="192" spans="1:14" x14ac:dyDescent="0.25">
      <c r="A192" s="6"/>
      <c r="B192" s="6"/>
      <c r="J192" s="138"/>
    </row>
    <row r="193" spans="1:34" x14ac:dyDescent="0.25">
      <c r="A193" s="6"/>
      <c r="B193" s="6"/>
      <c r="J193" s="138"/>
    </row>
    <row r="194" spans="1:34" x14ac:dyDescent="0.25">
      <c r="A194" s="6"/>
      <c r="B194" s="6"/>
      <c r="J194" s="138"/>
    </row>
    <row r="195" spans="1:34" x14ac:dyDescent="0.25">
      <c r="A195" s="6"/>
      <c r="B195" s="6"/>
      <c r="J195" s="138"/>
    </row>
    <row r="196" spans="1:34" x14ac:dyDescent="0.25">
      <c r="J196" s="138"/>
    </row>
    <row r="197" spans="1:34" x14ac:dyDescent="0.25">
      <c r="J197" s="138"/>
    </row>
    <row r="198" spans="1:34" s="97" customFormat="1" x14ac:dyDescent="0.25">
      <c r="A198"/>
      <c r="B198"/>
      <c r="C198" s="93"/>
      <c r="D198"/>
      <c r="E198"/>
      <c r="F198"/>
      <c r="G198" s="90"/>
      <c r="H198"/>
      <c r="I198"/>
      <c r="J198" s="13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</row>
    <row r="199" spans="1:34" s="97" customFormat="1" x14ac:dyDescent="0.25">
      <c r="A199"/>
      <c r="B199"/>
      <c r="C199" s="93"/>
      <c r="D199"/>
      <c r="E199"/>
      <c r="F199"/>
      <c r="G199" s="90"/>
      <c r="H199"/>
      <c r="I199"/>
      <c r="J199" s="138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</row>
    <row r="200" spans="1:34" s="97" customFormat="1" x14ac:dyDescent="0.25">
      <c r="A200"/>
      <c r="B200"/>
      <c r="C200" s="93"/>
      <c r="D200"/>
      <c r="E200"/>
      <c r="F200"/>
      <c r="G200" s="90"/>
      <c r="H200"/>
      <c r="I200"/>
      <c r="J200" s="138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97" customFormat="1" x14ac:dyDescent="0.25">
      <c r="A201"/>
      <c r="B201"/>
      <c r="C201" s="93"/>
      <c r="D201"/>
      <c r="E201"/>
      <c r="F201"/>
      <c r="G201" s="90"/>
      <c r="H201"/>
      <c r="I201"/>
      <c r="J201" s="138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97" customFormat="1" x14ac:dyDescent="0.25">
      <c r="A202"/>
      <c r="B202"/>
      <c r="C202" s="93"/>
      <c r="D202"/>
      <c r="E202"/>
      <c r="F202"/>
      <c r="G202" s="90"/>
      <c r="H202"/>
      <c r="I202"/>
      <c r="J202" s="138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97" customFormat="1" x14ac:dyDescent="0.25">
      <c r="A203"/>
      <c r="B203"/>
      <c r="C203" s="93"/>
      <c r="D203"/>
      <c r="E203"/>
      <c r="F203"/>
      <c r="G203" s="90"/>
      <c r="H203"/>
      <c r="I203"/>
      <c r="J203" s="138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97" customFormat="1" x14ac:dyDescent="0.25">
      <c r="A204"/>
      <c r="B204"/>
      <c r="C204" s="93"/>
      <c r="D204"/>
      <c r="E204"/>
      <c r="F204"/>
      <c r="G204" s="90"/>
      <c r="H204"/>
      <c r="I204"/>
      <c r="J204" s="138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97" customFormat="1" x14ac:dyDescent="0.25">
      <c r="A205"/>
      <c r="B205"/>
      <c r="C205" s="93"/>
      <c r="D205"/>
      <c r="E205"/>
      <c r="F205"/>
      <c r="G205" s="90"/>
      <c r="H205"/>
      <c r="I205"/>
      <c r="J205" s="138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</row>
    <row r="206" spans="1:34" s="97" customFormat="1" x14ac:dyDescent="0.25">
      <c r="A206"/>
      <c r="B206"/>
      <c r="C206" s="93"/>
      <c r="D206"/>
      <c r="E206"/>
      <c r="F206"/>
      <c r="G206" s="90"/>
      <c r="H206"/>
      <c r="I206"/>
      <c r="J206" s="138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</row>
    <row r="207" spans="1:34" s="97" customFormat="1" x14ac:dyDescent="0.25">
      <c r="A207"/>
      <c r="B207"/>
      <c r="C207" s="93"/>
      <c r="D207"/>
      <c r="E207"/>
      <c r="F207"/>
      <c r="G207" s="90"/>
      <c r="H207"/>
      <c r="I207"/>
      <c r="J207" s="138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</row>
    <row r="208" spans="1:34" s="97" customFormat="1" x14ac:dyDescent="0.25">
      <c r="A208"/>
      <c r="B208"/>
      <c r="C208" s="93"/>
      <c r="D208"/>
      <c r="E208"/>
      <c r="F208"/>
      <c r="G208" s="90"/>
      <c r="H208"/>
      <c r="I208"/>
      <c r="J208" s="13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</row>
    <row r="209" spans="1:34" s="97" customFormat="1" x14ac:dyDescent="0.25">
      <c r="A209"/>
      <c r="B209"/>
      <c r="C209" s="93"/>
      <c r="D209"/>
      <c r="E209"/>
      <c r="F209"/>
      <c r="G209" s="90"/>
      <c r="H209"/>
      <c r="I209"/>
      <c r="J209" s="138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34" s="97" customFormat="1" x14ac:dyDescent="0.25">
      <c r="A210"/>
      <c r="B210"/>
      <c r="C210" s="93"/>
      <c r="D210"/>
      <c r="E210"/>
      <c r="F210"/>
      <c r="G210" s="90"/>
      <c r="H210"/>
      <c r="I210"/>
      <c r="J210" s="138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</row>
    <row r="211" spans="1:34" s="97" customFormat="1" x14ac:dyDescent="0.25">
      <c r="A211"/>
      <c r="B211"/>
      <c r="C211" s="93"/>
      <c r="D211"/>
      <c r="E211"/>
      <c r="F211"/>
      <c r="G211" s="90"/>
      <c r="H211"/>
      <c r="I211"/>
      <c r="J211" s="138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</row>
    <row r="212" spans="1:34" s="97" customFormat="1" x14ac:dyDescent="0.25">
      <c r="A212"/>
      <c r="B212"/>
      <c r="C212" s="93"/>
      <c r="D212"/>
      <c r="E212"/>
      <c r="F212"/>
      <c r="G212" s="90"/>
      <c r="H212"/>
      <c r="I212"/>
      <c r="J212" s="138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</row>
    <row r="213" spans="1:34" s="97" customFormat="1" x14ac:dyDescent="0.25">
      <c r="A213"/>
      <c r="B213"/>
      <c r="C213" s="93"/>
      <c r="D213"/>
      <c r="E213"/>
      <c r="F213"/>
      <c r="G213" s="90"/>
      <c r="H213"/>
      <c r="I213"/>
      <c r="J213" s="138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</row>
    <row r="214" spans="1:34" s="97" customFormat="1" x14ac:dyDescent="0.25">
      <c r="A214"/>
      <c r="B214"/>
      <c r="C214" s="93"/>
      <c r="D214"/>
      <c r="E214"/>
      <c r="F214"/>
      <c r="G214" s="90"/>
      <c r="H214"/>
      <c r="I214"/>
      <c r="J214" s="138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</row>
    <row r="215" spans="1:34" s="97" customFormat="1" x14ac:dyDescent="0.25">
      <c r="A215"/>
      <c r="B215"/>
      <c r="C215" s="93"/>
      <c r="D215"/>
      <c r="E215"/>
      <c r="F215"/>
      <c r="G215" s="90"/>
      <c r="H215"/>
      <c r="I215"/>
      <c r="J215" s="138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</row>
    <row r="216" spans="1:34" s="97" customFormat="1" x14ac:dyDescent="0.25">
      <c r="A216"/>
      <c r="B216"/>
      <c r="C216" s="93"/>
      <c r="D216"/>
      <c r="E216"/>
      <c r="F216"/>
      <c r="G216" s="90"/>
      <c r="H216"/>
      <c r="I216"/>
      <c r="J216" s="138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</row>
    <row r="217" spans="1:34" s="97" customFormat="1" x14ac:dyDescent="0.25">
      <c r="A217"/>
      <c r="B217"/>
      <c r="C217" s="93"/>
      <c r="D217"/>
      <c r="E217"/>
      <c r="F217"/>
      <c r="G217" s="90"/>
      <c r="H217"/>
      <c r="I217"/>
      <c r="J217" s="138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</row>
    <row r="218" spans="1:34" s="97" customFormat="1" x14ac:dyDescent="0.25">
      <c r="A218"/>
      <c r="B218"/>
      <c r="C218" s="93"/>
      <c r="D218"/>
      <c r="E218"/>
      <c r="F218"/>
      <c r="G218" s="90"/>
      <c r="H218"/>
      <c r="I218"/>
      <c r="J218" s="13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</row>
    <row r="219" spans="1:34" s="97" customFormat="1" x14ac:dyDescent="0.25">
      <c r="A219"/>
      <c r="B219"/>
      <c r="C219" s="93"/>
      <c r="D219"/>
      <c r="E219"/>
      <c r="F219"/>
      <c r="G219" s="90"/>
      <c r="H219"/>
      <c r="I219"/>
      <c r="J219" s="138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</row>
    <row r="220" spans="1:34" s="97" customFormat="1" x14ac:dyDescent="0.25">
      <c r="A220"/>
      <c r="B220"/>
      <c r="C220" s="93"/>
      <c r="D220"/>
      <c r="E220"/>
      <c r="F220"/>
      <c r="G220" s="90"/>
      <c r="H220"/>
      <c r="I220"/>
      <c r="J220" s="138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</row>
    <row r="221" spans="1:34" s="97" customFormat="1" x14ac:dyDescent="0.25">
      <c r="A221"/>
      <c r="B221"/>
      <c r="C221" s="93"/>
      <c r="D221"/>
      <c r="E221"/>
      <c r="F221"/>
      <c r="G221" s="90"/>
      <c r="H221"/>
      <c r="I221"/>
      <c r="J221" s="138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</row>
    <row r="222" spans="1:34" s="97" customFormat="1" x14ac:dyDescent="0.25">
      <c r="A222"/>
      <c r="B222"/>
      <c r="C222" s="93"/>
      <c r="D222"/>
      <c r="E222"/>
      <c r="F222"/>
      <c r="G222" s="90"/>
      <c r="H222"/>
      <c r="I222"/>
      <c r="J222" s="138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</row>
    <row r="223" spans="1:34" s="97" customFormat="1" x14ac:dyDescent="0.25">
      <c r="A223"/>
      <c r="B223"/>
      <c r="C223" s="93"/>
      <c r="D223"/>
      <c r="E223"/>
      <c r="F223"/>
      <c r="G223" s="90"/>
      <c r="H223"/>
      <c r="I223"/>
      <c r="J223" s="138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</row>
    <row r="224" spans="1:34" s="97" customFormat="1" x14ac:dyDescent="0.25">
      <c r="A224"/>
      <c r="B224"/>
      <c r="C224" s="93"/>
      <c r="D224"/>
      <c r="E224"/>
      <c r="F224"/>
      <c r="G224" s="90"/>
      <c r="H224"/>
      <c r="I224"/>
      <c r="J224" s="138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</row>
    <row r="225" spans="1:34" s="97" customFormat="1" x14ac:dyDescent="0.25">
      <c r="A225"/>
      <c r="B225"/>
      <c r="C225" s="93"/>
      <c r="D225"/>
      <c r="E225"/>
      <c r="F225"/>
      <c r="G225" s="90"/>
      <c r="H225"/>
      <c r="I225"/>
      <c r="J225" s="138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</row>
    <row r="226" spans="1:34" s="97" customFormat="1" x14ac:dyDescent="0.25">
      <c r="A226"/>
      <c r="B226"/>
      <c r="C226" s="93"/>
      <c r="D226"/>
      <c r="E226"/>
      <c r="F226"/>
      <c r="G226" s="90"/>
      <c r="H226"/>
      <c r="I226"/>
      <c r="J226" s="138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</row>
    <row r="227" spans="1:34" s="97" customFormat="1" x14ac:dyDescent="0.25">
      <c r="A227"/>
      <c r="B227"/>
      <c r="C227" s="93"/>
      <c r="D227"/>
      <c r="E227"/>
      <c r="F227"/>
      <c r="G227" s="90"/>
      <c r="H227"/>
      <c r="I227"/>
      <c r="J227" s="138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</row>
    <row r="228" spans="1:34" s="97" customFormat="1" x14ac:dyDescent="0.25">
      <c r="A228"/>
      <c r="B228"/>
      <c r="C228" s="93"/>
      <c r="D228"/>
      <c r="E228"/>
      <c r="F228"/>
      <c r="G228" s="90"/>
      <c r="H228"/>
      <c r="I228"/>
      <c r="J228" s="13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</row>
    <row r="229" spans="1:34" s="97" customFormat="1" x14ac:dyDescent="0.25">
      <c r="A229"/>
      <c r="B229"/>
      <c r="C229" s="93"/>
      <c r="D229"/>
      <c r="E229"/>
      <c r="F229"/>
      <c r="G229" s="90"/>
      <c r="H229"/>
      <c r="I229"/>
      <c r="J229" s="138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</row>
    <row r="230" spans="1:34" s="97" customFormat="1" x14ac:dyDescent="0.25">
      <c r="A230"/>
      <c r="B230"/>
      <c r="C230" s="93"/>
      <c r="D230"/>
      <c r="E230"/>
      <c r="F230"/>
      <c r="G230" s="90"/>
      <c r="H230"/>
      <c r="I230"/>
      <c r="J230" s="138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</row>
    <row r="231" spans="1:34" s="97" customFormat="1" x14ac:dyDescent="0.25">
      <c r="A231"/>
      <c r="B231"/>
      <c r="C231" s="93"/>
      <c r="D231"/>
      <c r="E231"/>
      <c r="F231"/>
      <c r="G231" s="90"/>
      <c r="H231"/>
      <c r="I231"/>
      <c r="J231" s="138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</row>
    <row r="232" spans="1:34" s="97" customFormat="1" x14ac:dyDescent="0.25">
      <c r="A232"/>
      <c r="B232"/>
      <c r="C232" s="93"/>
      <c r="D232"/>
      <c r="E232"/>
      <c r="F232"/>
      <c r="G232" s="90"/>
      <c r="H232"/>
      <c r="I232"/>
      <c r="J232" s="138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</row>
    <row r="233" spans="1:34" s="97" customFormat="1" x14ac:dyDescent="0.25">
      <c r="A233"/>
      <c r="B233"/>
      <c r="C233" s="93"/>
      <c r="D233"/>
      <c r="E233"/>
      <c r="F233"/>
      <c r="G233" s="90"/>
      <c r="H233"/>
      <c r="I233"/>
      <c r="J233" s="138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</row>
    <row r="234" spans="1:34" s="97" customFormat="1" x14ac:dyDescent="0.25">
      <c r="A234"/>
      <c r="B234"/>
      <c r="C234" s="93"/>
      <c r="D234"/>
      <c r="E234"/>
      <c r="F234"/>
      <c r="G234" s="90"/>
      <c r="H234"/>
      <c r="I234"/>
      <c r="J234" s="138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</row>
    <row r="235" spans="1:34" s="97" customFormat="1" x14ac:dyDescent="0.25">
      <c r="A235"/>
      <c r="B235"/>
      <c r="C235" s="93"/>
      <c r="D235"/>
      <c r="E235"/>
      <c r="F235"/>
      <c r="G235" s="90"/>
      <c r="H235"/>
      <c r="I235"/>
      <c r="J235" s="138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</row>
    <row r="236" spans="1:34" s="97" customFormat="1" x14ac:dyDescent="0.25">
      <c r="A236"/>
      <c r="B236"/>
      <c r="C236" s="93"/>
      <c r="D236"/>
      <c r="E236"/>
      <c r="F236"/>
      <c r="G236" s="90"/>
      <c r="H236"/>
      <c r="I236"/>
      <c r="J236" s="138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</row>
    <row r="237" spans="1:34" s="97" customFormat="1" x14ac:dyDescent="0.25">
      <c r="A237"/>
      <c r="B237"/>
      <c r="C237" s="93"/>
      <c r="D237"/>
      <c r="E237"/>
      <c r="F237"/>
      <c r="G237" s="90"/>
      <c r="H237"/>
      <c r="I237"/>
      <c r="J237" s="138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</row>
    <row r="238" spans="1:34" s="97" customFormat="1" x14ac:dyDescent="0.25">
      <c r="A238"/>
      <c r="B238"/>
      <c r="C238" s="93"/>
      <c r="D238"/>
      <c r="E238"/>
      <c r="F238"/>
      <c r="G238" s="90"/>
      <c r="H238"/>
      <c r="I238"/>
      <c r="J238" s="1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</row>
    <row r="239" spans="1:34" s="97" customFormat="1" x14ac:dyDescent="0.25">
      <c r="A239"/>
      <c r="B239"/>
      <c r="C239" s="93"/>
      <c r="D239"/>
      <c r="E239"/>
      <c r="F239"/>
      <c r="G239" s="90"/>
      <c r="H239"/>
      <c r="I239"/>
      <c r="J239" s="138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</row>
    <row r="240" spans="1:34" s="97" customFormat="1" x14ac:dyDescent="0.25">
      <c r="A240"/>
      <c r="B240"/>
      <c r="C240" s="93"/>
      <c r="D240"/>
      <c r="E240"/>
      <c r="F240"/>
      <c r="G240" s="90"/>
      <c r="H240"/>
      <c r="I240"/>
      <c r="J240" s="138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</row>
    <row r="241" spans="1:34" s="97" customFormat="1" x14ac:dyDescent="0.25">
      <c r="A241"/>
      <c r="B241"/>
      <c r="C241" s="93"/>
      <c r="D241"/>
      <c r="E241"/>
      <c r="F241"/>
      <c r="G241" s="90"/>
      <c r="H241"/>
      <c r="I241"/>
      <c r="J241" s="138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</row>
    <row r="242" spans="1:34" s="97" customFormat="1" x14ac:dyDescent="0.25">
      <c r="A242"/>
      <c r="B242"/>
      <c r="C242" s="93"/>
      <c r="D242"/>
      <c r="E242"/>
      <c r="F242"/>
      <c r="G242" s="90"/>
      <c r="H242"/>
      <c r="I242"/>
      <c r="J242" s="138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</row>
    <row r="243" spans="1:34" s="97" customFormat="1" x14ac:dyDescent="0.25">
      <c r="A243"/>
      <c r="B243"/>
      <c r="C243" s="93"/>
      <c r="D243"/>
      <c r="E243"/>
      <c r="F243"/>
      <c r="G243" s="90"/>
      <c r="H243"/>
      <c r="I243"/>
      <c r="J243" s="138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</row>
    <row r="244" spans="1:34" s="97" customFormat="1" x14ac:dyDescent="0.25">
      <c r="A244"/>
      <c r="B244"/>
      <c r="C244" s="93"/>
      <c r="D244"/>
      <c r="E244"/>
      <c r="F244"/>
      <c r="G244" s="90"/>
      <c r="H244"/>
      <c r="I244"/>
      <c r="J244" s="138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</row>
    <row r="245" spans="1:34" s="97" customFormat="1" x14ac:dyDescent="0.25">
      <c r="A245"/>
      <c r="B245"/>
      <c r="C245" s="93"/>
      <c r="D245"/>
      <c r="E245"/>
      <c r="F245"/>
      <c r="G245" s="90"/>
      <c r="H245"/>
      <c r="I245"/>
      <c r="J245" s="138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</row>
    <row r="246" spans="1:34" s="97" customFormat="1" x14ac:dyDescent="0.25">
      <c r="A246"/>
      <c r="B246"/>
      <c r="C246" s="93"/>
      <c r="D246"/>
      <c r="E246"/>
      <c r="F246"/>
      <c r="G246" s="90"/>
      <c r="H246"/>
      <c r="I246"/>
      <c r="J246" s="138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</row>
    <row r="247" spans="1:34" s="97" customFormat="1" x14ac:dyDescent="0.25">
      <c r="A247"/>
      <c r="B247"/>
      <c r="C247" s="93"/>
      <c r="D247"/>
      <c r="E247"/>
      <c r="F247"/>
      <c r="G247" s="90"/>
      <c r="H247"/>
      <c r="I247"/>
      <c r="J247" s="138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</row>
    <row r="248" spans="1:34" s="97" customFormat="1" x14ac:dyDescent="0.25">
      <c r="A248"/>
      <c r="B248"/>
      <c r="C248" s="93"/>
      <c r="D248"/>
      <c r="E248"/>
      <c r="F248"/>
      <c r="G248" s="90"/>
      <c r="H248"/>
      <c r="I248"/>
      <c r="J248" s="13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</row>
  </sheetData>
  <pageMargins left="0.7" right="0.7" top="0.75" bottom="0.75" header="0.3" footer="0.3"/>
  <pageSetup paperSize="9" orientation="portrait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1"/>
  <sheetViews>
    <sheetView workbookViewId="0">
      <pane ySplit="2" topLeftCell="A3" activePane="bottomLeft" state="frozen"/>
      <selection pane="bottomLeft" activeCell="A26" sqref="A26"/>
    </sheetView>
  </sheetViews>
  <sheetFormatPr defaultRowHeight="15" x14ac:dyDescent="0.25"/>
  <cols>
    <col min="1" max="1" width="6.85546875" bestFit="1" customWidth="1"/>
    <col min="2" max="2" width="8.140625" style="93" bestFit="1" customWidth="1"/>
    <col min="3" max="3" width="28.85546875" bestFit="1" customWidth="1"/>
    <col min="4" max="4" width="18" bestFit="1" customWidth="1"/>
    <col min="5" max="6" width="11" customWidth="1"/>
    <col min="8" max="8" width="3.42578125" style="139" customWidth="1"/>
    <col min="9" max="11" width="3.42578125" style="97" customWidth="1"/>
    <col min="14" max="16" width="3.42578125" customWidth="1"/>
    <col min="18" max="20" width="3.42578125" customWidth="1"/>
  </cols>
  <sheetData>
    <row r="1" spans="1:22" s="6" customFormat="1" x14ac:dyDescent="0.25">
      <c r="A1" s="6" t="s">
        <v>58</v>
      </c>
      <c r="B1" s="92" t="s">
        <v>62</v>
      </c>
      <c r="C1" s="6" t="s">
        <v>60</v>
      </c>
      <c r="D1" s="6" t="s">
        <v>61</v>
      </c>
      <c r="E1" s="6" t="s">
        <v>75</v>
      </c>
      <c r="F1" s="6" t="s">
        <v>127</v>
      </c>
      <c r="H1" s="136"/>
      <c r="I1" s="95" t="s">
        <v>8</v>
      </c>
      <c r="J1" s="95"/>
      <c r="K1" s="95"/>
      <c r="N1" s="382" t="s">
        <v>206</v>
      </c>
      <c r="O1" s="382"/>
      <c r="P1" s="382"/>
      <c r="R1" s="382" t="s">
        <v>207</v>
      </c>
      <c r="S1" s="382"/>
      <c r="T1" s="382"/>
      <c r="V1" s="6" t="s">
        <v>5</v>
      </c>
    </row>
    <row r="2" spans="1:22" s="6" customFormat="1" ht="15.75" thickBot="1" x14ac:dyDescent="0.3">
      <c r="B2" s="92"/>
      <c r="H2" s="140" t="s">
        <v>66</v>
      </c>
      <c r="I2" s="142" t="s">
        <v>67</v>
      </c>
      <c r="J2" s="142" t="s">
        <v>65</v>
      </c>
      <c r="K2" s="96"/>
      <c r="L2" s="6" t="s">
        <v>144</v>
      </c>
      <c r="N2" s="140" t="s">
        <v>66</v>
      </c>
      <c r="O2" s="142" t="s">
        <v>67</v>
      </c>
      <c r="P2" s="142" t="s">
        <v>65</v>
      </c>
      <c r="R2" s="140" t="s">
        <v>66</v>
      </c>
      <c r="S2" s="142" t="s">
        <v>67</v>
      </c>
      <c r="T2" s="142" t="s">
        <v>65</v>
      </c>
      <c r="V2" s="6" t="s">
        <v>151</v>
      </c>
    </row>
    <row r="3" spans="1:22" s="6" customFormat="1" x14ac:dyDescent="0.25">
      <c r="B3" s="92"/>
      <c r="H3" s="143"/>
      <c r="I3" s="144"/>
      <c r="J3" s="144"/>
      <c r="K3" s="96"/>
    </row>
    <row r="4" spans="1:22" s="6" customFormat="1" x14ac:dyDescent="0.25">
      <c r="A4" s="6">
        <v>1</v>
      </c>
      <c r="B4" s="92">
        <v>41910</v>
      </c>
      <c r="C4" s="6" t="s">
        <v>122</v>
      </c>
      <c r="D4" s="6" t="s">
        <v>123</v>
      </c>
      <c r="E4" s="91">
        <v>0</v>
      </c>
      <c r="F4" s="6">
        <v>42.195</v>
      </c>
      <c r="H4" s="137">
        <v>3</v>
      </c>
      <c r="I4" s="95">
        <v>14</v>
      </c>
      <c r="J4" s="95">
        <v>36</v>
      </c>
      <c r="K4" s="95"/>
      <c r="L4" s="145">
        <v>0.19236111111111112</v>
      </c>
      <c r="N4" s="6">
        <v>3</v>
      </c>
      <c r="O4" s="6">
        <v>15</v>
      </c>
      <c r="P4" s="95">
        <v>0</v>
      </c>
      <c r="R4" s="6">
        <v>3</v>
      </c>
      <c r="S4" s="6">
        <v>15</v>
      </c>
      <c r="T4" s="95">
        <v>0</v>
      </c>
      <c r="V4" s="95">
        <f t="shared" ref="V4:V19" si="0">60-J4</f>
        <v>24</v>
      </c>
    </row>
    <row r="5" spans="1:22" s="6" customFormat="1" x14ac:dyDescent="0.25">
      <c r="A5" s="6">
        <v>2</v>
      </c>
      <c r="B5" s="178">
        <v>42084</v>
      </c>
      <c r="C5" s="10" t="s">
        <v>205</v>
      </c>
      <c r="D5" s="10" t="s">
        <v>132</v>
      </c>
      <c r="E5" s="10">
        <v>0</v>
      </c>
      <c r="F5" s="10">
        <v>10</v>
      </c>
      <c r="G5" s="10"/>
      <c r="H5" s="180">
        <v>0</v>
      </c>
      <c r="I5" s="181">
        <v>39</v>
      </c>
      <c r="J5" s="181">
        <v>51</v>
      </c>
      <c r="K5" s="181"/>
      <c r="L5" s="182">
        <v>0.16597222222222222</v>
      </c>
      <c r="N5" s="6">
        <v>0</v>
      </c>
      <c r="O5" s="6">
        <v>39</v>
      </c>
      <c r="P5" s="6">
        <v>58</v>
      </c>
      <c r="R5" s="6">
        <v>0</v>
      </c>
      <c r="S5" s="6">
        <v>40</v>
      </c>
      <c r="T5" s="95">
        <v>0</v>
      </c>
      <c r="V5" s="95">
        <f t="shared" si="0"/>
        <v>9</v>
      </c>
    </row>
    <row r="6" spans="1:22" s="6" customFormat="1" x14ac:dyDescent="0.25">
      <c r="A6" s="6">
        <v>3</v>
      </c>
      <c r="B6" s="178">
        <v>42113</v>
      </c>
      <c r="C6" s="10" t="s">
        <v>167</v>
      </c>
      <c r="D6" s="10" t="s">
        <v>168</v>
      </c>
      <c r="E6" s="10">
        <v>0</v>
      </c>
      <c r="F6" s="10">
        <v>42.195</v>
      </c>
      <c r="G6" s="10"/>
      <c r="H6" s="180">
        <v>3</v>
      </c>
      <c r="I6" s="181">
        <v>14</v>
      </c>
      <c r="J6" s="181">
        <v>26</v>
      </c>
      <c r="K6" s="181"/>
      <c r="L6" s="182">
        <v>0.19236111111111112</v>
      </c>
      <c r="N6" s="6">
        <v>3</v>
      </c>
      <c r="O6" s="6">
        <v>14</v>
      </c>
      <c r="P6" s="6">
        <v>40</v>
      </c>
      <c r="R6" s="6">
        <v>3</v>
      </c>
      <c r="S6" s="6">
        <v>15</v>
      </c>
      <c r="T6" s="95">
        <v>0</v>
      </c>
      <c r="V6" s="95">
        <f t="shared" si="0"/>
        <v>34</v>
      </c>
    </row>
    <row r="7" spans="1:22" s="6" customFormat="1" x14ac:dyDescent="0.25">
      <c r="A7" s="6">
        <v>4</v>
      </c>
      <c r="B7" s="178">
        <v>42133</v>
      </c>
      <c r="C7" s="10" t="s">
        <v>214</v>
      </c>
      <c r="D7" s="10" t="s">
        <v>132</v>
      </c>
      <c r="E7" s="10">
        <v>0</v>
      </c>
      <c r="F7" s="10">
        <v>21.097000000000001</v>
      </c>
      <c r="G7" s="10"/>
      <c r="H7" s="180">
        <v>1</v>
      </c>
      <c r="I7" s="181">
        <v>29</v>
      </c>
      <c r="J7" s="181">
        <v>30</v>
      </c>
      <c r="K7" s="181"/>
      <c r="L7" s="182">
        <v>0.17708333333333334</v>
      </c>
      <c r="N7" s="6">
        <v>1</v>
      </c>
      <c r="O7" s="6">
        <v>29</v>
      </c>
      <c r="P7" s="6">
        <v>43</v>
      </c>
      <c r="R7" s="6">
        <v>1</v>
      </c>
      <c r="S7" s="6">
        <v>30</v>
      </c>
      <c r="T7" s="95">
        <v>0</v>
      </c>
      <c r="V7" s="95">
        <f t="shared" si="0"/>
        <v>30</v>
      </c>
    </row>
    <row r="8" spans="1:22" s="6" customFormat="1" x14ac:dyDescent="0.25">
      <c r="A8" s="6">
        <v>5</v>
      </c>
      <c r="B8" s="178">
        <v>42148</v>
      </c>
      <c r="C8" s="10" t="s">
        <v>73</v>
      </c>
      <c r="D8" s="10" t="s">
        <v>74</v>
      </c>
      <c r="E8" s="10">
        <v>0</v>
      </c>
      <c r="F8" s="10">
        <v>42.195</v>
      </c>
      <c r="G8" s="10"/>
      <c r="H8" s="180">
        <v>3</v>
      </c>
      <c r="I8" s="181">
        <v>19</v>
      </c>
      <c r="J8" s="181">
        <v>31</v>
      </c>
      <c r="K8" s="181"/>
      <c r="L8" s="182">
        <v>0.19722222222222222</v>
      </c>
      <c r="N8" s="6">
        <v>3</v>
      </c>
      <c r="O8" s="6">
        <v>20</v>
      </c>
      <c r="P8" s="6">
        <v>32</v>
      </c>
      <c r="R8" s="6">
        <v>3</v>
      </c>
      <c r="S8" s="6">
        <v>20</v>
      </c>
      <c r="T8" s="95">
        <v>0</v>
      </c>
      <c r="V8" s="6">
        <f t="shared" si="0"/>
        <v>29</v>
      </c>
    </row>
    <row r="9" spans="1:22" s="6" customFormat="1" x14ac:dyDescent="0.25">
      <c r="A9" s="6">
        <v>6</v>
      </c>
      <c r="B9" s="178">
        <v>42176</v>
      </c>
      <c r="C9" s="10" t="s">
        <v>223</v>
      </c>
      <c r="D9" s="10" t="s">
        <v>210</v>
      </c>
      <c r="E9" s="10">
        <v>0</v>
      </c>
      <c r="F9" s="10">
        <v>21.097000000000001</v>
      </c>
      <c r="G9" s="10"/>
      <c r="H9" s="180">
        <v>1</v>
      </c>
      <c r="I9" s="181">
        <v>39</v>
      </c>
      <c r="J9" s="181">
        <v>23</v>
      </c>
      <c r="K9" s="181"/>
      <c r="L9" s="182">
        <v>0.19583333333333333</v>
      </c>
      <c r="N9" s="6">
        <v>1</v>
      </c>
      <c r="O9" s="6">
        <v>40</v>
      </c>
      <c r="P9" s="6">
        <v>39</v>
      </c>
      <c r="R9" s="6">
        <v>1</v>
      </c>
      <c r="S9" s="6">
        <v>40</v>
      </c>
      <c r="T9" s="95">
        <v>0</v>
      </c>
      <c r="V9" s="6">
        <f t="shared" si="0"/>
        <v>37</v>
      </c>
    </row>
    <row r="10" spans="1:22" s="6" customFormat="1" x14ac:dyDescent="0.25">
      <c r="A10" s="6">
        <v>7</v>
      </c>
      <c r="B10" s="178">
        <v>42253</v>
      </c>
      <c r="C10" s="10" t="s">
        <v>200</v>
      </c>
      <c r="D10" s="10" t="s">
        <v>201</v>
      </c>
      <c r="E10" s="10">
        <v>0</v>
      </c>
      <c r="F10" s="10">
        <v>42.195</v>
      </c>
      <c r="G10" s="10"/>
      <c r="H10" s="180">
        <v>3</v>
      </c>
      <c r="I10" s="181">
        <v>14</v>
      </c>
      <c r="J10" s="181">
        <v>35</v>
      </c>
      <c r="K10" s="181"/>
      <c r="L10" s="182">
        <v>0.19027777777777777</v>
      </c>
      <c r="N10" s="6">
        <v>3</v>
      </c>
      <c r="O10" s="6">
        <v>14</v>
      </c>
      <c r="P10" s="6">
        <v>47</v>
      </c>
      <c r="R10" s="6">
        <v>3</v>
      </c>
      <c r="S10" s="6">
        <v>15</v>
      </c>
      <c r="T10" s="95">
        <v>0</v>
      </c>
      <c r="V10" s="6">
        <f t="shared" si="0"/>
        <v>25</v>
      </c>
    </row>
    <row r="11" spans="1:22" s="6" customFormat="1" x14ac:dyDescent="0.25">
      <c r="A11" s="6">
        <v>8</v>
      </c>
      <c r="B11" s="92">
        <v>42260</v>
      </c>
      <c r="C11" s="6" t="s">
        <v>269</v>
      </c>
      <c r="D11" s="6" t="s">
        <v>74</v>
      </c>
      <c r="E11" s="6">
        <v>0</v>
      </c>
      <c r="F11" s="6">
        <v>21.097000000000001</v>
      </c>
      <c r="H11" s="137">
        <v>1</v>
      </c>
      <c r="I11" s="95">
        <v>34</v>
      </c>
      <c r="J11" s="95">
        <v>40</v>
      </c>
      <c r="K11" s="95"/>
      <c r="L11" s="145">
        <v>0.1875</v>
      </c>
      <c r="N11" s="6">
        <v>1</v>
      </c>
      <c r="O11" s="6">
        <v>36</v>
      </c>
      <c r="P11" s="6">
        <v>12</v>
      </c>
      <c r="R11" s="6">
        <v>1</v>
      </c>
      <c r="S11" s="6">
        <v>35</v>
      </c>
      <c r="T11" s="95">
        <v>0</v>
      </c>
      <c r="V11" s="6">
        <f t="shared" si="0"/>
        <v>20</v>
      </c>
    </row>
    <row r="12" spans="1:22" s="6" customFormat="1" x14ac:dyDescent="0.25">
      <c r="A12" s="6">
        <v>9</v>
      </c>
      <c r="B12" s="92">
        <v>42281</v>
      </c>
      <c r="C12" s="6" t="s">
        <v>122</v>
      </c>
      <c r="D12" s="6" t="s">
        <v>123</v>
      </c>
      <c r="E12" s="6">
        <v>0</v>
      </c>
      <c r="F12" s="6">
        <v>42.195</v>
      </c>
      <c r="H12" s="137">
        <v>3</v>
      </c>
      <c r="I12" s="95">
        <v>14</v>
      </c>
      <c r="J12" s="95">
        <v>36</v>
      </c>
      <c r="K12" s="95"/>
      <c r="L12" s="145">
        <v>0.19166666666666665</v>
      </c>
      <c r="N12" s="6">
        <v>3</v>
      </c>
      <c r="O12" s="6">
        <v>14</v>
      </c>
      <c r="P12" s="6">
        <v>58</v>
      </c>
      <c r="R12" s="6">
        <v>3</v>
      </c>
      <c r="S12" s="6">
        <v>15</v>
      </c>
      <c r="T12" s="95">
        <v>0</v>
      </c>
      <c r="V12" s="6">
        <f t="shared" si="0"/>
        <v>24</v>
      </c>
    </row>
    <row r="13" spans="1:22" s="6" customFormat="1" x14ac:dyDescent="0.25">
      <c r="A13" s="6">
        <v>10</v>
      </c>
      <c r="B13" s="92">
        <v>42361</v>
      </c>
      <c r="C13" s="6" t="s">
        <v>124</v>
      </c>
      <c r="D13" s="6" t="s">
        <v>123</v>
      </c>
      <c r="E13" s="6">
        <v>108</v>
      </c>
      <c r="F13" s="6">
        <v>42.195</v>
      </c>
      <c r="H13" s="137">
        <v>3</v>
      </c>
      <c r="I13" s="95">
        <v>29</v>
      </c>
      <c r="J13" s="95">
        <v>31</v>
      </c>
      <c r="K13" s="95"/>
      <c r="L13" s="145">
        <v>0.20694444444444446</v>
      </c>
      <c r="N13" s="6">
        <v>3</v>
      </c>
      <c r="O13" s="6">
        <v>29</v>
      </c>
      <c r="P13" s="6">
        <v>31</v>
      </c>
      <c r="R13" s="6">
        <v>3</v>
      </c>
      <c r="S13" s="6">
        <v>30</v>
      </c>
      <c r="T13" s="95">
        <v>0</v>
      </c>
      <c r="V13" s="6">
        <f t="shared" si="0"/>
        <v>29</v>
      </c>
    </row>
    <row r="14" spans="1:22" s="6" customFormat="1" x14ac:dyDescent="0.25">
      <c r="A14" s="6">
        <v>11</v>
      </c>
      <c r="B14" s="92">
        <v>42441</v>
      </c>
      <c r="C14" s="6" t="s">
        <v>205</v>
      </c>
      <c r="D14" s="6" t="s">
        <v>132</v>
      </c>
      <c r="E14" s="6">
        <v>0</v>
      </c>
      <c r="F14" s="6">
        <v>10</v>
      </c>
      <c r="H14" s="137">
        <v>0</v>
      </c>
      <c r="I14" s="95">
        <v>39</v>
      </c>
      <c r="J14" s="95">
        <v>52</v>
      </c>
      <c r="K14" s="95"/>
      <c r="L14" s="145">
        <v>0.16597222222222222</v>
      </c>
      <c r="N14" s="6">
        <v>0</v>
      </c>
      <c r="O14" s="6">
        <v>39</v>
      </c>
      <c r="P14" s="6">
        <v>54</v>
      </c>
      <c r="R14" s="6">
        <v>0</v>
      </c>
      <c r="S14" s="6">
        <v>40</v>
      </c>
      <c r="T14" s="95">
        <v>0</v>
      </c>
      <c r="V14" s="6">
        <f t="shared" si="0"/>
        <v>8</v>
      </c>
    </row>
    <row r="15" spans="1:22" s="6" customFormat="1" x14ac:dyDescent="0.25">
      <c r="A15" s="6">
        <v>12</v>
      </c>
      <c r="B15" s="92">
        <v>42470</v>
      </c>
      <c r="C15" s="6" t="s">
        <v>167</v>
      </c>
      <c r="D15" s="6" t="s">
        <v>168</v>
      </c>
      <c r="E15" s="6">
        <v>0</v>
      </c>
      <c r="F15" s="6">
        <v>42.195</v>
      </c>
      <c r="H15" s="137">
        <v>3</v>
      </c>
      <c r="I15" s="95">
        <v>14</v>
      </c>
      <c r="J15" s="95">
        <v>48</v>
      </c>
      <c r="K15" s="95"/>
      <c r="L15" s="145">
        <v>0.19236111111111112</v>
      </c>
      <c r="N15" s="6">
        <v>3</v>
      </c>
      <c r="O15" s="6">
        <v>15</v>
      </c>
      <c r="P15" s="6">
        <v>7</v>
      </c>
      <c r="R15" s="6">
        <v>3</v>
      </c>
      <c r="S15" s="6">
        <v>15</v>
      </c>
      <c r="T15" s="95">
        <v>0</v>
      </c>
      <c r="V15" s="6">
        <f t="shared" si="0"/>
        <v>12</v>
      </c>
    </row>
    <row r="16" spans="1:22" s="6" customFormat="1" x14ac:dyDescent="0.25">
      <c r="A16" s="6">
        <v>13</v>
      </c>
      <c r="B16" s="92">
        <v>42497</v>
      </c>
      <c r="C16" s="6" t="s">
        <v>214</v>
      </c>
      <c r="D16" s="6" t="s">
        <v>132</v>
      </c>
      <c r="E16" s="6">
        <v>0</v>
      </c>
      <c r="F16" s="6">
        <v>21.097000000000001</v>
      </c>
      <c r="H16" s="137">
        <v>1</v>
      </c>
      <c r="I16" s="95">
        <v>29</v>
      </c>
      <c r="J16" s="95">
        <v>50</v>
      </c>
      <c r="K16" s="95"/>
      <c r="L16" s="145">
        <v>0.17708333333333334</v>
      </c>
      <c r="N16" s="6">
        <v>1</v>
      </c>
      <c r="O16" s="6">
        <v>29</v>
      </c>
      <c r="P16" s="6">
        <v>56</v>
      </c>
      <c r="R16" s="6">
        <v>1</v>
      </c>
      <c r="S16" s="6">
        <v>30</v>
      </c>
      <c r="T16" s="95">
        <v>0</v>
      </c>
      <c r="V16" s="6">
        <f t="shared" si="0"/>
        <v>10</v>
      </c>
    </row>
    <row r="17" spans="1:22" s="6" customFormat="1" x14ac:dyDescent="0.25">
      <c r="A17" s="6">
        <v>14</v>
      </c>
      <c r="B17" s="92">
        <v>42512</v>
      </c>
      <c r="C17" s="6" t="s">
        <v>73</v>
      </c>
      <c r="D17" s="6" t="s">
        <v>74</v>
      </c>
      <c r="E17" s="6">
        <v>0</v>
      </c>
      <c r="F17" s="6">
        <v>21.097000000000001</v>
      </c>
      <c r="H17" s="137">
        <v>1</v>
      </c>
      <c r="I17" s="95">
        <v>34</v>
      </c>
      <c r="J17" s="95">
        <v>53</v>
      </c>
      <c r="K17" s="95"/>
      <c r="L17" s="145">
        <v>0.18819444444444444</v>
      </c>
      <c r="N17" s="6">
        <v>1</v>
      </c>
      <c r="O17" s="6">
        <v>35</v>
      </c>
      <c r="P17" s="6">
        <v>31</v>
      </c>
      <c r="R17" s="6">
        <v>3</v>
      </c>
      <c r="S17" s="6">
        <v>10</v>
      </c>
      <c r="T17" s="95">
        <v>0</v>
      </c>
      <c r="V17" s="6">
        <f t="shared" si="0"/>
        <v>7</v>
      </c>
    </row>
    <row r="18" spans="1:22" s="6" customFormat="1" x14ac:dyDescent="0.25">
      <c r="A18" s="6">
        <v>15</v>
      </c>
      <c r="B18" s="92">
        <v>42631</v>
      </c>
      <c r="C18" s="6" t="s">
        <v>269</v>
      </c>
      <c r="D18" s="6" t="s">
        <v>74</v>
      </c>
      <c r="E18" s="6">
        <v>0</v>
      </c>
      <c r="F18" s="6">
        <v>21.097000000000001</v>
      </c>
      <c r="H18" s="137">
        <v>1</v>
      </c>
      <c r="I18" s="95">
        <v>29</v>
      </c>
      <c r="J18" s="95">
        <v>38</v>
      </c>
      <c r="K18" s="95"/>
      <c r="L18" s="145">
        <v>0.17708333333333334</v>
      </c>
      <c r="N18" s="6">
        <v>1</v>
      </c>
      <c r="O18" s="6">
        <v>30</v>
      </c>
      <c r="P18" s="6">
        <v>34</v>
      </c>
      <c r="R18" s="6">
        <v>1</v>
      </c>
      <c r="S18" s="6">
        <v>30</v>
      </c>
      <c r="T18" s="95">
        <v>0</v>
      </c>
      <c r="V18" s="6">
        <f t="shared" si="0"/>
        <v>22</v>
      </c>
    </row>
    <row r="19" spans="1:22" s="6" customFormat="1" x14ac:dyDescent="0.25">
      <c r="A19" s="6">
        <v>16</v>
      </c>
      <c r="B19" s="92">
        <v>42834</v>
      </c>
      <c r="C19" s="6" t="s">
        <v>167</v>
      </c>
      <c r="D19" s="6" t="s">
        <v>168</v>
      </c>
      <c r="E19" s="6">
        <v>0</v>
      </c>
      <c r="F19" s="6">
        <v>42.195</v>
      </c>
      <c r="H19" s="137">
        <v>3</v>
      </c>
      <c r="I19" s="95">
        <v>14</v>
      </c>
      <c r="J19" s="95">
        <v>48</v>
      </c>
      <c r="K19" s="95"/>
      <c r="L19" s="145">
        <v>0.19236111111111112</v>
      </c>
      <c r="N19" s="6">
        <v>3</v>
      </c>
      <c r="O19" s="6">
        <v>15</v>
      </c>
      <c r="P19" s="6">
        <v>6</v>
      </c>
      <c r="R19" s="6">
        <v>3</v>
      </c>
      <c r="S19" s="6">
        <v>15</v>
      </c>
      <c r="T19" s="95">
        <v>0</v>
      </c>
      <c r="V19" s="6">
        <f t="shared" si="0"/>
        <v>12</v>
      </c>
    </row>
    <row r="20" spans="1:22" s="6" customFormat="1" x14ac:dyDescent="0.25">
      <c r="A20" s="6">
        <v>17</v>
      </c>
      <c r="B20" s="92">
        <v>42861</v>
      </c>
      <c r="C20" s="6" t="s">
        <v>214</v>
      </c>
      <c r="D20" s="6" t="s">
        <v>132</v>
      </c>
      <c r="E20" s="6">
        <v>0</v>
      </c>
      <c r="F20" s="6">
        <v>21.097000000000001</v>
      </c>
      <c r="H20" s="137">
        <v>1</v>
      </c>
      <c r="I20" s="95">
        <v>30</v>
      </c>
      <c r="J20" s="95">
        <v>17</v>
      </c>
      <c r="K20" s="95"/>
      <c r="L20" s="145">
        <v>0.17777777777777778</v>
      </c>
      <c r="N20" s="6">
        <v>1</v>
      </c>
      <c r="O20" s="6">
        <v>30</v>
      </c>
      <c r="P20" s="6">
        <v>24</v>
      </c>
      <c r="R20" s="6">
        <v>1</v>
      </c>
      <c r="S20" s="6">
        <v>30</v>
      </c>
      <c r="T20" s="95">
        <v>0</v>
      </c>
      <c r="V20" s="9">
        <v>-17</v>
      </c>
    </row>
    <row r="21" spans="1:22" s="6" customFormat="1" x14ac:dyDescent="0.25">
      <c r="A21" s="6">
        <v>18</v>
      </c>
      <c r="B21" s="92">
        <v>42876</v>
      </c>
      <c r="C21" s="6" t="s">
        <v>73</v>
      </c>
      <c r="D21" s="6" t="s">
        <v>74</v>
      </c>
      <c r="E21" s="6">
        <v>0</v>
      </c>
      <c r="F21" s="6">
        <v>42.195</v>
      </c>
      <c r="H21" s="137">
        <v>1</v>
      </c>
      <c r="I21" s="95">
        <v>32</v>
      </c>
      <c r="J21" s="95">
        <v>9</v>
      </c>
      <c r="K21" s="95"/>
      <c r="L21" s="145">
        <v>0.17777777777777778</v>
      </c>
      <c r="N21" s="6">
        <v>1</v>
      </c>
      <c r="O21" s="6">
        <v>32</v>
      </c>
      <c r="P21" s="6">
        <v>9</v>
      </c>
      <c r="R21" s="6">
        <v>1</v>
      </c>
      <c r="S21" s="6">
        <v>30</v>
      </c>
      <c r="T21" s="95">
        <v>0</v>
      </c>
      <c r="V21" s="9">
        <v>-129</v>
      </c>
    </row>
    <row r="22" spans="1:22" s="6" customFormat="1" x14ac:dyDescent="0.25">
      <c r="A22" s="6">
        <v>19</v>
      </c>
      <c r="B22" s="92">
        <v>42995</v>
      </c>
      <c r="C22" s="6" t="s">
        <v>269</v>
      </c>
      <c r="D22" s="6" t="s">
        <v>74</v>
      </c>
      <c r="E22" s="6">
        <v>0</v>
      </c>
      <c r="F22" s="6">
        <v>21.097000000000001</v>
      </c>
      <c r="H22" s="137">
        <v>1</v>
      </c>
      <c r="I22" s="95">
        <v>34</v>
      </c>
      <c r="J22" s="95">
        <v>47</v>
      </c>
      <c r="K22" s="95"/>
      <c r="L22" s="145">
        <v>0.18819444444444444</v>
      </c>
      <c r="N22" s="6">
        <v>1</v>
      </c>
      <c r="O22" s="6">
        <v>37</v>
      </c>
      <c r="P22" s="6">
        <v>21</v>
      </c>
      <c r="R22" s="6">
        <v>1</v>
      </c>
      <c r="S22" s="6">
        <v>35</v>
      </c>
      <c r="T22" s="95">
        <v>0</v>
      </c>
      <c r="V22" s="6">
        <f>60-J22</f>
        <v>13</v>
      </c>
    </row>
    <row r="23" spans="1:22" s="6" customFormat="1" x14ac:dyDescent="0.25">
      <c r="A23" s="6">
        <v>20</v>
      </c>
      <c r="B23" s="92">
        <v>43009</v>
      </c>
      <c r="C23" s="6" t="s">
        <v>122</v>
      </c>
      <c r="D23" s="6" t="s">
        <v>123</v>
      </c>
      <c r="E23" s="6">
        <v>0</v>
      </c>
      <c r="F23" s="6">
        <v>42.195</v>
      </c>
      <c r="H23" s="137">
        <v>1</v>
      </c>
      <c r="I23" s="95">
        <v>37</v>
      </c>
      <c r="J23" s="95">
        <v>13</v>
      </c>
      <c r="K23" s="95"/>
      <c r="L23" s="145">
        <v>0.19236111111111112</v>
      </c>
      <c r="N23" s="6">
        <v>1</v>
      </c>
      <c r="O23" s="6">
        <v>37</v>
      </c>
      <c r="P23" s="6">
        <v>13</v>
      </c>
      <c r="R23" s="6">
        <v>1</v>
      </c>
      <c r="S23" s="6">
        <v>37</v>
      </c>
      <c r="T23" s="95">
        <v>30</v>
      </c>
      <c r="V23" s="95">
        <f>30-J23</f>
        <v>17</v>
      </c>
    </row>
    <row r="24" spans="1:22" s="6" customFormat="1" x14ac:dyDescent="0.25">
      <c r="A24" s="6">
        <v>21</v>
      </c>
      <c r="B24" s="92">
        <v>43233</v>
      </c>
      <c r="C24" s="6" t="s">
        <v>73</v>
      </c>
      <c r="D24" s="6" t="s">
        <v>74</v>
      </c>
      <c r="E24" s="6">
        <v>0</v>
      </c>
      <c r="F24" s="6">
        <v>42.195</v>
      </c>
      <c r="H24" s="137">
        <v>1</v>
      </c>
      <c r="I24" s="95">
        <v>34</v>
      </c>
      <c r="J24" s="95">
        <v>40</v>
      </c>
      <c r="K24" s="95"/>
      <c r="L24" s="145">
        <v>0.18680555555555556</v>
      </c>
      <c r="R24" s="6">
        <v>1</v>
      </c>
      <c r="S24" s="6">
        <v>35</v>
      </c>
      <c r="T24" s="95">
        <v>0</v>
      </c>
      <c r="V24" s="6">
        <f>60-J24</f>
        <v>20</v>
      </c>
    </row>
    <row r="25" spans="1:22" s="6" customFormat="1" x14ac:dyDescent="0.25">
      <c r="A25" s="6">
        <v>22</v>
      </c>
      <c r="B25" s="92">
        <v>43373</v>
      </c>
      <c r="C25" s="6" t="s">
        <v>122</v>
      </c>
      <c r="D25" s="6" t="s">
        <v>123</v>
      </c>
      <c r="E25" s="6">
        <v>0</v>
      </c>
      <c r="F25" s="6">
        <v>42.195</v>
      </c>
      <c r="H25" s="137">
        <v>1</v>
      </c>
      <c r="I25" s="95">
        <v>34</v>
      </c>
      <c r="J25" s="95">
        <v>45</v>
      </c>
      <c r="K25" s="95"/>
      <c r="L25" s="145">
        <v>0.18680555555555556</v>
      </c>
      <c r="R25" s="6">
        <v>1</v>
      </c>
      <c r="S25" s="6">
        <v>35</v>
      </c>
      <c r="T25" s="95">
        <v>0</v>
      </c>
      <c r="V25" s="6">
        <f>60-J25</f>
        <v>15</v>
      </c>
    </row>
    <row r="26" spans="1:22" s="6" customFormat="1" x14ac:dyDescent="0.25">
      <c r="B26" s="92"/>
      <c r="H26" s="137"/>
      <c r="I26" s="95"/>
      <c r="J26" s="95"/>
      <c r="K26" s="95"/>
      <c r="L26" s="145"/>
      <c r="T26" s="95"/>
      <c r="V26" s="95"/>
    </row>
    <row r="27" spans="1:22" s="6" customFormat="1" x14ac:dyDescent="0.25">
      <c r="B27" s="92"/>
      <c r="H27" s="137"/>
      <c r="I27" s="95"/>
      <c r="J27" s="95"/>
      <c r="K27" s="95"/>
      <c r="L27" s="145"/>
      <c r="T27" s="95"/>
    </row>
    <row r="28" spans="1:22" s="6" customFormat="1" x14ac:dyDescent="0.25">
      <c r="B28" s="92"/>
      <c r="H28" s="137"/>
      <c r="I28" s="95"/>
      <c r="J28" s="95"/>
      <c r="K28" s="95"/>
    </row>
    <row r="29" spans="1:22" s="6" customFormat="1" x14ac:dyDescent="0.25">
      <c r="B29" s="92"/>
      <c r="E29" s="91">
        <f>SUM(E4:E28)</f>
        <v>108</v>
      </c>
      <c r="F29" s="91">
        <f>SUM(F4:F28)</f>
        <v>695.1160000000001</v>
      </c>
      <c r="H29" s="137"/>
      <c r="I29" s="95"/>
      <c r="J29" s="95"/>
      <c r="K29" s="95"/>
    </row>
    <row r="30" spans="1:22" x14ac:dyDescent="0.25">
      <c r="A30" s="6"/>
      <c r="H30" s="138"/>
    </row>
    <row r="31" spans="1:22" x14ac:dyDescent="0.25">
      <c r="A31" s="6"/>
      <c r="H31" s="138"/>
    </row>
    <row r="32" spans="1:22" x14ac:dyDescent="0.25">
      <c r="A32" s="6"/>
      <c r="H32" s="138"/>
    </row>
    <row r="33" spans="1:29" x14ac:dyDescent="0.25">
      <c r="A33" s="6"/>
      <c r="H33" s="138"/>
    </row>
    <row r="34" spans="1:29" x14ac:dyDescent="0.25">
      <c r="A34" s="6"/>
      <c r="H34" s="138"/>
    </row>
    <row r="35" spans="1:29" x14ac:dyDescent="0.25">
      <c r="A35" s="6"/>
      <c r="H35" s="138"/>
    </row>
    <row r="36" spans="1:29" x14ac:dyDescent="0.25">
      <c r="A36" s="6"/>
      <c r="H36" s="138"/>
    </row>
    <row r="37" spans="1:29" x14ac:dyDescent="0.25">
      <c r="A37" s="6"/>
      <c r="H37" s="138"/>
    </row>
    <row r="38" spans="1:29" x14ac:dyDescent="0.25">
      <c r="A38" s="6"/>
      <c r="H38" s="138"/>
    </row>
    <row r="39" spans="1:29" x14ac:dyDescent="0.25">
      <c r="H39" s="138"/>
    </row>
    <row r="40" spans="1:29" x14ac:dyDescent="0.25">
      <c r="H40" s="138"/>
    </row>
    <row r="41" spans="1:29" s="97" customFormat="1" x14ac:dyDescent="0.25">
      <c r="A41"/>
      <c r="B41" s="93"/>
      <c r="C41"/>
      <c r="D41"/>
      <c r="E41"/>
      <c r="F41"/>
      <c r="G41"/>
      <c r="H41" s="138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97" customFormat="1" x14ac:dyDescent="0.25">
      <c r="A42"/>
      <c r="B42" s="93"/>
      <c r="C42"/>
      <c r="D42"/>
      <c r="E42"/>
      <c r="F42"/>
      <c r="G42"/>
      <c r="H42" s="138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97" customFormat="1" x14ac:dyDescent="0.25">
      <c r="A43"/>
      <c r="B43" s="93"/>
      <c r="C43"/>
      <c r="D43"/>
      <c r="E43"/>
      <c r="F43"/>
      <c r="G43"/>
      <c r="H43" s="138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97" customFormat="1" x14ac:dyDescent="0.25">
      <c r="A44"/>
      <c r="B44" s="93"/>
      <c r="C44"/>
      <c r="D44"/>
      <c r="E44"/>
      <c r="F44"/>
      <c r="G44"/>
      <c r="H44" s="138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97" customFormat="1" x14ac:dyDescent="0.25">
      <c r="A45"/>
      <c r="B45" s="93"/>
      <c r="C45"/>
      <c r="D45"/>
      <c r="E45"/>
      <c r="F45"/>
      <c r="G45"/>
      <c r="H45" s="138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97" customFormat="1" x14ac:dyDescent="0.25">
      <c r="A46"/>
      <c r="B46" s="93"/>
      <c r="C46"/>
      <c r="D46"/>
      <c r="E46"/>
      <c r="F46"/>
      <c r="G46"/>
      <c r="H46" s="138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97" customFormat="1" x14ac:dyDescent="0.25">
      <c r="A47"/>
      <c r="B47" s="93"/>
      <c r="C47"/>
      <c r="D47"/>
      <c r="E47"/>
      <c r="F47"/>
      <c r="G47"/>
      <c r="H47" s="138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97" customFormat="1" x14ac:dyDescent="0.25">
      <c r="A48"/>
      <c r="B48" s="93"/>
      <c r="C48"/>
      <c r="D48"/>
      <c r="E48"/>
      <c r="F48"/>
      <c r="G48"/>
      <c r="H48" s="13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:29" s="97" customFormat="1" x14ac:dyDescent="0.25">
      <c r="A49"/>
      <c r="B49" s="93"/>
      <c r="C49"/>
      <c r="D49"/>
      <c r="E49"/>
      <c r="F49"/>
      <c r="G49"/>
      <c r="H49" s="138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:29" s="97" customFormat="1" x14ac:dyDescent="0.25">
      <c r="A50"/>
      <c r="B50" s="93"/>
      <c r="C50"/>
      <c r="D50"/>
      <c r="E50"/>
      <c r="F50"/>
      <c r="G50"/>
      <c r="H50" s="138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:29" s="97" customFormat="1" x14ac:dyDescent="0.25">
      <c r="A51"/>
      <c r="B51" s="93"/>
      <c r="C51"/>
      <c r="D51"/>
      <c r="E51"/>
      <c r="F51"/>
      <c r="G51"/>
      <c r="H51" s="138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:29" s="97" customFormat="1" x14ac:dyDescent="0.25">
      <c r="A52"/>
      <c r="B52" s="93"/>
      <c r="C52"/>
      <c r="D52"/>
      <c r="E52"/>
      <c r="F52"/>
      <c r="G52"/>
      <c r="H52" s="138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:29" s="97" customFormat="1" x14ac:dyDescent="0.25">
      <c r="A53"/>
      <c r="B53" s="93"/>
      <c r="C53"/>
      <c r="D53"/>
      <c r="E53"/>
      <c r="F53"/>
      <c r="G53"/>
      <c r="H53" s="138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:29" s="97" customFormat="1" x14ac:dyDescent="0.25">
      <c r="A54"/>
      <c r="B54" s="93"/>
      <c r="C54"/>
      <c r="D54"/>
      <c r="E54"/>
      <c r="F54"/>
      <c r="G54"/>
      <c r="H54" s="138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:29" s="97" customFormat="1" x14ac:dyDescent="0.25">
      <c r="A55"/>
      <c r="B55" s="93"/>
      <c r="C55"/>
      <c r="D55"/>
      <c r="E55"/>
      <c r="F55"/>
      <c r="G55"/>
      <c r="H55" s="138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:29" s="97" customFormat="1" x14ac:dyDescent="0.25">
      <c r="A56"/>
      <c r="B56" s="93"/>
      <c r="C56"/>
      <c r="D56"/>
      <c r="E56"/>
      <c r="F56"/>
      <c r="G56"/>
      <c r="H56" s="138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</row>
    <row r="57" spans="1:29" s="97" customFormat="1" x14ac:dyDescent="0.25">
      <c r="A57"/>
      <c r="B57" s="93"/>
      <c r="C57"/>
      <c r="D57"/>
      <c r="E57"/>
      <c r="F57"/>
      <c r="G57"/>
      <c r="H57" s="13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97" customFormat="1" x14ac:dyDescent="0.25">
      <c r="A58"/>
      <c r="B58" s="93"/>
      <c r="C58"/>
      <c r="D58"/>
      <c r="E58"/>
      <c r="F58"/>
      <c r="G58"/>
      <c r="H58" s="13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97" customFormat="1" x14ac:dyDescent="0.25">
      <c r="A59"/>
      <c r="B59" s="93"/>
      <c r="C59"/>
      <c r="D59"/>
      <c r="E59"/>
      <c r="F59"/>
      <c r="G59"/>
      <c r="H59" s="138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29" s="97" customFormat="1" x14ac:dyDescent="0.25">
      <c r="A60"/>
      <c r="B60" s="93"/>
      <c r="C60"/>
      <c r="D60"/>
      <c r="E60"/>
      <c r="F60"/>
      <c r="G60"/>
      <c r="H60" s="138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</row>
    <row r="61" spans="1:29" s="97" customFormat="1" x14ac:dyDescent="0.25">
      <c r="A61"/>
      <c r="B61" s="93"/>
      <c r="C61"/>
      <c r="D61"/>
      <c r="E61"/>
      <c r="F61"/>
      <c r="G61"/>
      <c r="H61" s="138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</row>
    <row r="62" spans="1:29" s="97" customFormat="1" x14ac:dyDescent="0.25">
      <c r="A62"/>
      <c r="B62" s="93"/>
      <c r="C62"/>
      <c r="D62"/>
      <c r="E62"/>
      <c r="F62"/>
      <c r="G62"/>
      <c r="H62" s="138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1:29" s="97" customFormat="1" x14ac:dyDescent="0.25">
      <c r="A63"/>
      <c r="B63" s="93"/>
      <c r="C63"/>
      <c r="D63"/>
      <c r="E63"/>
      <c r="F63"/>
      <c r="G63"/>
      <c r="H63" s="138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s="97" customFormat="1" x14ac:dyDescent="0.25">
      <c r="A64"/>
      <c r="B64" s="93"/>
      <c r="C64"/>
      <c r="D64"/>
      <c r="E64"/>
      <c r="F64"/>
      <c r="G64"/>
      <c r="H64" s="138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s="97" customFormat="1" x14ac:dyDescent="0.25">
      <c r="A65"/>
      <c r="B65" s="93"/>
      <c r="C65"/>
      <c r="D65"/>
      <c r="E65"/>
      <c r="F65"/>
      <c r="G65"/>
      <c r="H65" s="138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s="97" customFormat="1" x14ac:dyDescent="0.25">
      <c r="A66"/>
      <c r="B66" s="93"/>
      <c r="C66"/>
      <c r="D66"/>
      <c r="E66"/>
      <c r="F66"/>
      <c r="G66"/>
      <c r="H66" s="138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s="97" customFormat="1" x14ac:dyDescent="0.25">
      <c r="A67"/>
      <c r="B67" s="93"/>
      <c r="C67"/>
      <c r="D67"/>
      <c r="E67"/>
      <c r="F67"/>
      <c r="G67"/>
      <c r="H67" s="138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s="97" customFormat="1" x14ac:dyDescent="0.25">
      <c r="A68"/>
      <c r="B68" s="93"/>
      <c r="C68"/>
      <c r="D68"/>
      <c r="E68"/>
      <c r="F68"/>
      <c r="G68"/>
      <c r="H68" s="13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s="97" customFormat="1" x14ac:dyDescent="0.25">
      <c r="A69"/>
      <c r="B69" s="93"/>
      <c r="C69"/>
      <c r="D69"/>
      <c r="E69"/>
      <c r="F69"/>
      <c r="G69"/>
      <c r="H69" s="138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s="97" customFormat="1" x14ac:dyDescent="0.25">
      <c r="A70"/>
      <c r="B70" s="93"/>
      <c r="C70"/>
      <c r="D70"/>
      <c r="E70"/>
      <c r="F70"/>
      <c r="G70"/>
      <c r="H70" s="138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s="97" customFormat="1" x14ac:dyDescent="0.25">
      <c r="A71"/>
      <c r="B71" s="93"/>
      <c r="C71"/>
      <c r="D71"/>
      <c r="E71"/>
      <c r="F71"/>
      <c r="G71"/>
      <c r="H71" s="138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s="97" customFormat="1" x14ac:dyDescent="0.25">
      <c r="A72"/>
      <c r="B72" s="93"/>
      <c r="C72"/>
      <c r="D72"/>
      <c r="E72"/>
      <c r="F72"/>
      <c r="G72"/>
      <c r="H72" s="138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s="97" customFormat="1" x14ac:dyDescent="0.25">
      <c r="A73"/>
      <c r="B73" s="93"/>
      <c r="C73"/>
      <c r="D73"/>
      <c r="E73"/>
      <c r="F73"/>
      <c r="G73"/>
      <c r="H73" s="138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s="97" customFormat="1" x14ac:dyDescent="0.25">
      <c r="A74"/>
      <c r="B74" s="93"/>
      <c r="C74"/>
      <c r="D74"/>
      <c r="E74"/>
      <c r="F74"/>
      <c r="G74"/>
      <c r="H74" s="138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s="97" customFormat="1" x14ac:dyDescent="0.25">
      <c r="A75"/>
      <c r="B75" s="93"/>
      <c r="C75"/>
      <c r="D75"/>
      <c r="E75"/>
      <c r="F75"/>
      <c r="G75"/>
      <c r="H75" s="138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97" customFormat="1" x14ac:dyDescent="0.25">
      <c r="A76"/>
      <c r="B76" s="93"/>
      <c r="C76"/>
      <c r="D76"/>
      <c r="E76"/>
      <c r="F76"/>
      <c r="G76"/>
      <c r="H76" s="138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97" customFormat="1" x14ac:dyDescent="0.25">
      <c r="A77"/>
      <c r="B77" s="93"/>
      <c r="C77"/>
      <c r="D77"/>
      <c r="E77"/>
      <c r="F77"/>
      <c r="G77"/>
      <c r="H77" s="138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s="97" customFormat="1" x14ac:dyDescent="0.25">
      <c r="A78"/>
      <c r="B78" s="93"/>
      <c r="C78"/>
      <c r="D78"/>
      <c r="E78"/>
      <c r="F78"/>
      <c r="G78"/>
      <c r="H78" s="13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s="97" customFormat="1" x14ac:dyDescent="0.25">
      <c r="A79"/>
      <c r="B79" s="93"/>
      <c r="C79"/>
      <c r="D79"/>
      <c r="E79"/>
      <c r="F79"/>
      <c r="G79"/>
      <c r="H79" s="138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s="97" customFormat="1" x14ac:dyDescent="0.25">
      <c r="A80"/>
      <c r="B80" s="93"/>
      <c r="C80"/>
      <c r="D80"/>
      <c r="E80"/>
      <c r="F80"/>
      <c r="G80"/>
      <c r="H80" s="138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s="97" customFormat="1" x14ac:dyDescent="0.25">
      <c r="A81"/>
      <c r="B81" s="93"/>
      <c r="C81"/>
      <c r="D81"/>
      <c r="E81"/>
      <c r="F81"/>
      <c r="G81"/>
      <c r="H81" s="138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s="97" customFormat="1" x14ac:dyDescent="0.25">
      <c r="A82"/>
      <c r="B82" s="93"/>
      <c r="C82"/>
      <c r="D82"/>
      <c r="E82"/>
      <c r="F82"/>
      <c r="G82"/>
      <c r="H82" s="138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s="97" customFormat="1" x14ac:dyDescent="0.25">
      <c r="A83"/>
      <c r="B83" s="93"/>
      <c r="C83"/>
      <c r="D83"/>
      <c r="E83"/>
      <c r="F83"/>
      <c r="G83"/>
      <c r="H83" s="138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s="97" customFormat="1" x14ac:dyDescent="0.25">
      <c r="A84"/>
      <c r="B84" s="93"/>
      <c r="C84"/>
      <c r="D84"/>
      <c r="E84"/>
      <c r="F84"/>
      <c r="G84"/>
      <c r="H84" s="138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97" customFormat="1" x14ac:dyDescent="0.25">
      <c r="A85"/>
      <c r="B85" s="93"/>
      <c r="C85"/>
      <c r="D85"/>
      <c r="E85"/>
      <c r="F85"/>
      <c r="G85"/>
      <c r="H85" s="138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s="97" customFormat="1" x14ac:dyDescent="0.25">
      <c r="A86"/>
      <c r="B86" s="93"/>
      <c r="C86"/>
      <c r="D86"/>
      <c r="E86"/>
      <c r="F86"/>
      <c r="G86"/>
      <c r="H86" s="138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s="97" customFormat="1" x14ac:dyDescent="0.25">
      <c r="A87"/>
      <c r="B87" s="93"/>
      <c r="C87"/>
      <c r="D87"/>
      <c r="E87"/>
      <c r="F87"/>
      <c r="G87"/>
      <c r="H87" s="138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s="97" customFormat="1" x14ac:dyDescent="0.25">
      <c r="A88"/>
      <c r="B88" s="93"/>
      <c r="C88"/>
      <c r="D88"/>
      <c r="E88"/>
      <c r="F88"/>
      <c r="G88"/>
      <c r="H88" s="13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s="97" customFormat="1" x14ac:dyDescent="0.25">
      <c r="A89"/>
      <c r="B89" s="93"/>
      <c r="C89"/>
      <c r="D89"/>
      <c r="E89"/>
      <c r="F89"/>
      <c r="G89"/>
      <c r="H89" s="138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s="97" customFormat="1" x14ac:dyDescent="0.25">
      <c r="A90"/>
      <c r="B90" s="93"/>
      <c r="C90"/>
      <c r="D90"/>
      <c r="E90"/>
      <c r="F90"/>
      <c r="G90"/>
      <c r="H90" s="138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s="97" customFormat="1" x14ac:dyDescent="0.25">
      <c r="A91"/>
      <c r="B91" s="93"/>
      <c r="C91"/>
      <c r="D91"/>
      <c r="E91"/>
      <c r="F91"/>
      <c r="G91"/>
      <c r="H91" s="138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</sheetData>
  <mergeCells count="2">
    <mergeCell ref="N1:P1"/>
    <mergeCell ref="R1:T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opLeftCell="A16" zoomScaleNormal="100" workbookViewId="0">
      <selection activeCell="H7" sqref="H7"/>
    </sheetView>
  </sheetViews>
  <sheetFormatPr defaultColWidth="9.140625" defaultRowHeight="15" x14ac:dyDescent="0.25"/>
  <cols>
    <col min="1" max="1" width="10.7109375" style="277" bestFit="1" customWidth="1"/>
    <col min="2" max="2" width="6.28515625" style="277" bestFit="1" customWidth="1"/>
    <col min="3" max="3" width="8.5703125" style="277" bestFit="1" customWidth="1"/>
    <col min="4" max="4" width="6.42578125" style="277" bestFit="1" customWidth="1"/>
    <col min="5" max="5" width="7.28515625" style="277" customWidth="1"/>
    <col min="6" max="6" width="5.85546875" style="277" customWidth="1"/>
    <col min="7" max="7" width="8.42578125" style="277" customWidth="1"/>
    <col min="8" max="8" width="8.140625" style="277" bestFit="1" customWidth="1"/>
    <col min="9" max="10" width="8.85546875" style="277" bestFit="1" customWidth="1"/>
    <col min="11" max="12" width="8.140625" style="277" bestFit="1" customWidth="1"/>
    <col min="13" max="16384" width="9.140625" style="277"/>
  </cols>
  <sheetData>
    <row r="1" spans="1:12" s="279" customFormat="1" x14ac:dyDescent="0.25">
      <c r="E1" s="279" t="s">
        <v>312</v>
      </c>
      <c r="G1" s="279" t="s">
        <v>313</v>
      </c>
      <c r="H1" s="282">
        <v>42595</v>
      </c>
    </row>
    <row r="2" spans="1:12" s="279" customFormat="1" x14ac:dyDescent="0.25">
      <c r="G2" s="279" t="s">
        <v>380</v>
      </c>
      <c r="I2" s="283">
        <v>0.23055555555555554</v>
      </c>
    </row>
    <row r="4" spans="1:12" s="279" customFormat="1" x14ac:dyDescent="0.25">
      <c r="C4" s="279" t="s">
        <v>316</v>
      </c>
      <c r="D4" s="279" t="s">
        <v>317</v>
      </c>
      <c r="E4" s="279" t="s">
        <v>318</v>
      </c>
      <c r="F4" s="279" t="s">
        <v>319</v>
      </c>
      <c r="G4" s="279" t="s">
        <v>320</v>
      </c>
      <c r="H4" s="279" t="s">
        <v>8</v>
      </c>
      <c r="I4" s="279" t="s">
        <v>19</v>
      </c>
      <c r="J4" s="279" t="s">
        <v>329</v>
      </c>
      <c r="K4" s="279" t="s">
        <v>72</v>
      </c>
      <c r="L4" s="279" t="s">
        <v>5</v>
      </c>
    </row>
    <row r="5" spans="1:12" x14ac:dyDescent="0.25">
      <c r="A5" s="279" t="s">
        <v>314</v>
      </c>
      <c r="B5" s="279" t="s">
        <v>325</v>
      </c>
      <c r="E5" s="277">
        <v>1</v>
      </c>
    </row>
    <row r="6" spans="1:12" x14ac:dyDescent="0.25">
      <c r="A6" s="277" t="s">
        <v>315</v>
      </c>
      <c r="B6" s="277" t="s">
        <v>162</v>
      </c>
      <c r="F6" s="277">
        <v>1</v>
      </c>
      <c r="H6" s="280">
        <v>0</v>
      </c>
    </row>
    <row r="7" spans="1:12" s="279" customFormat="1" x14ac:dyDescent="0.25">
      <c r="A7" s="279">
        <v>2.855</v>
      </c>
      <c r="B7" s="279">
        <v>1</v>
      </c>
      <c r="C7" s="279" t="s">
        <v>326</v>
      </c>
      <c r="H7" s="281">
        <v>1.0972222222222223E-2</v>
      </c>
      <c r="I7" s="281">
        <v>1.0416666666666666E-2</v>
      </c>
      <c r="J7" s="283"/>
      <c r="K7" s="281">
        <f>I7</f>
        <v>1.0416666666666666E-2</v>
      </c>
      <c r="L7" s="281">
        <f t="shared" ref="L7:L41" si="0">H7-K7</f>
        <v>5.555555555555574E-4</v>
      </c>
    </row>
    <row r="8" spans="1:12" x14ac:dyDescent="0.25">
      <c r="A8" s="277">
        <v>5.71</v>
      </c>
      <c r="B8" s="277">
        <v>2</v>
      </c>
      <c r="C8" s="277">
        <v>1</v>
      </c>
      <c r="H8" s="278">
        <v>2.1944444444444447E-2</v>
      </c>
      <c r="I8" s="278">
        <v>1.0416666666666666E-2</v>
      </c>
      <c r="J8" s="280"/>
      <c r="K8" s="278">
        <f>K7+I8</f>
        <v>2.0833333333333332E-2</v>
      </c>
      <c r="L8" s="278">
        <f t="shared" si="0"/>
        <v>1.1111111111111148E-3</v>
      </c>
    </row>
    <row r="9" spans="1:12" s="279" customFormat="1" x14ac:dyDescent="0.25">
      <c r="A9" s="279">
        <v>8.5649999999999995</v>
      </c>
      <c r="B9" s="279">
        <v>1</v>
      </c>
      <c r="C9" s="279" t="s">
        <v>327</v>
      </c>
      <c r="D9" s="279">
        <v>0.2</v>
      </c>
      <c r="F9" s="279">
        <v>1</v>
      </c>
      <c r="H9" s="281">
        <v>3.2916666666666601E-2</v>
      </c>
      <c r="I9" s="281">
        <v>1.0416666666666666E-2</v>
      </c>
      <c r="J9" s="281"/>
      <c r="K9" s="281">
        <f t="shared" ref="K9:K41" si="1">K8+I9+J9</f>
        <v>3.125E-2</v>
      </c>
      <c r="L9" s="281">
        <f t="shared" si="0"/>
        <v>1.6666666666666011E-3</v>
      </c>
    </row>
    <row r="10" spans="1:12" x14ac:dyDescent="0.25">
      <c r="A10" s="277">
        <v>11.42</v>
      </c>
      <c r="B10" s="277">
        <v>2</v>
      </c>
      <c r="C10" s="277">
        <v>1</v>
      </c>
      <c r="H10" s="278">
        <v>4.3888888888888901E-2</v>
      </c>
      <c r="I10" s="278">
        <v>1.0416666666666666E-2</v>
      </c>
      <c r="K10" s="278">
        <f t="shared" si="1"/>
        <v>4.1666666666666664E-2</v>
      </c>
      <c r="L10" s="278">
        <f t="shared" si="0"/>
        <v>2.2222222222222365E-3</v>
      </c>
    </row>
    <row r="11" spans="1:12" s="279" customFormat="1" x14ac:dyDescent="0.25">
      <c r="A11" s="279">
        <v>14.275</v>
      </c>
      <c r="B11" s="279">
        <v>1</v>
      </c>
      <c r="C11" s="279" t="s">
        <v>327</v>
      </c>
      <c r="D11" s="279">
        <v>0.2</v>
      </c>
      <c r="H11" s="281">
        <v>5.4861111111111097E-2</v>
      </c>
      <c r="I11" s="281">
        <v>1.0416666666666666E-2</v>
      </c>
      <c r="J11" s="281"/>
      <c r="K11" s="281">
        <f t="shared" si="1"/>
        <v>5.2083333333333329E-2</v>
      </c>
      <c r="L11" s="281">
        <f t="shared" si="0"/>
        <v>2.7777777777777679E-3</v>
      </c>
    </row>
    <row r="12" spans="1:12" x14ac:dyDescent="0.25">
      <c r="A12" s="277">
        <v>17.13</v>
      </c>
      <c r="B12" s="277">
        <v>2</v>
      </c>
      <c r="C12" s="277">
        <v>1</v>
      </c>
      <c r="H12" s="278">
        <v>6.5833333333333299E-2</v>
      </c>
      <c r="I12" s="278">
        <v>1.0416666666666666E-2</v>
      </c>
      <c r="K12" s="278">
        <f t="shared" si="1"/>
        <v>6.2499999999999993E-2</v>
      </c>
      <c r="L12" s="278">
        <f t="shared" si="0"/>
        <v>3.3333333333333062E-3</v>
      </c>
    </row>
    <row r="13" spans="1:12" s="279" customFormat="1" x14ac:dyDescent="0.25">
      <c r="A13" s="279">
        <v>19.984999999999999</v>
      </c>
      <c r="B13" s="279">
        <v>1</v>
      </c>
      <c r="C13" s="279" t="s">
        <v>327</v>
      </c>
      <c r="D13" s="279">
        <v>0.2</v>
      </c>
      <c r="F13" s="279">
        <v>1</v>
      </c>
      <c r="H13" s="281">
        <v>7.6805555555555502E-2</v>
      </c>
      <c r="I13" s="281">
        <v>1.0416666666666666E-2</v>
      </c>
      <c r="J13" s="281">
        <v>3.4722222222222224E-4</v>
      </c>
      <c r="K13" s="281">
        <f t="shared" si="1"/>
        <v>7.3263888888888878E-2</v>
      </c>
      <c r="L13" s="281">
        <f t="shared" si="0"/>
        <v>3.5416666666666236E-3</v>
      </c>
    </row>
    <row r="14" spans="1:12" x14ac:dyDescent="0.25">
      <c r="A14" s="277">
        <v>22.84</v>
      </c>
      <c r="B14" s="277">
        <v>2</v>
      </c>
      <c r="C14" s="277">
        <v>1</v>
      </c>
      <c r="H14" s="278">
        <v>8.7777777777777802E-2</v>
      </c>
      <c r="I14" s="278">
        <v>1.0416666666666666E-2</v>
      </c>
      <c r="K14" s="278">
        <f t="shared" si="1"/>
        <v>8.368055555555555E-2</v>
      </c>
      <c r="L14" s="278">
        <f t="shared" si="0"/>
        <v>4.0972222222222521E-3</v>
      </c>
    </row>
    <row r="15" spans="1:12" s="279" customFormat="1" x14ac:dyDescent="0.25">
      <c r="A15" s="279">
        <v>25.695</v>
      </c>
      <c r="B15" s="279">
        <v>1</v>
      </c>
      <c r="D15" s="279">
        <v>0.2</v>
      </c>
      <c r="E15" s="279">
        <v>1</v>
      </c>
      <c r="H15" s="281">
        <v>9.8750000000000004E-2</v>
      </c>
      <c r="I15" s="281">
        <v>1.0416666666666666E-2</v>
      </c>
      <c r="J15" s="281">
        <v>3.4722222222222224E-4</v>
      </c>
      <c r="K15" s="281">
        <f t="shared" si="1"/>
        <v>9.4444444444444442E-2</v>
      </c>
      <c r="L15" s="281">
        <f t="shared" si="0"/>
        <v>4.3055555555555625E-3</v>
      </c>
    </row>
    <row r="16" spans="1:12" x14ac:dyDescent="0.25">
      <c r="A16" s="277">
        <v>28.55</v>
      </c>
      <c r="B16" s="277">
        <v>2</v>
      </c>
      <c r="H16" s="278">
        <v>0.109722222222222</v>
      </c>
      <c r="I16" s="278">
        <v>1.0416666666666666E-2</v>
      </c>
      <c r="K16" s="278">
        <f t="shared" si="1"/>
        <v>0.10486111111111111</v>
      </c>
      <c r="L16" s="278">
        <f t="shared" si="0"/>
        <v>4.8611111111108857E-3</v>
      </c>
    </row>
    <row r="17" spans="1:12" s="279" customFormat="1" x14ac:dyDescent="0.25">
      <c r="A17" s="279">
        <v>31.405000000000001</v>
      </c>
      <c r="B17" s="279">
        <v>1</v>
      </c>
      <c r="C17" s="279" t="s">
        <v>328</v>
      </c>
      <c r="D17" s="279">
        <v>0.2</v>
      </c>
      <c r="E17" s="279" t="s">
        <v>328</v>
      </c>
      <c r="F17" s="279">
        <v>1</v>
      </c>
      <c r="H17" s="281">
        <v>0.12069444444444399</v>
      </c>
      <c r="I17" s="281">
        <v>1.0416666666666666E-2</v>
      </c>
      <c r="J17" s="281">
        <v>3.4722222222222224E-4</v>
      </c>
      <c r="K17" s="281">
        <f t="shared" si="1"/>
        <v>0.11562500000000001</v>
      </c>
      <c r="L17" s="281">
        <f t="shared" si="0"/>
        <v>5.0694444444439879E-3</v>
      </c>
    </row>
    <row r="18" spans="1:12" x14ac:dyDescent="0.25">
      <c r="A18" s="277">
        <v>34.26</v>
      </c>
      <c r="B18" s="277">
        <v>2</v>
      </c>
      <c r="C18" s="277">
        <v>1</v>
      </c>
      <c r="E18" s="277">
        <v>1</v>
      </c>
      <c r="H18" s="278">
        <v>0.13166666666666599</v>
      </c>
      <c r="I18" s="278">
        <v>1.0416666666666666E-2</v>
      </c>
      <c r="K18" s="278">
        <f t="shared" si="1"/>
        <v>0.12604166666666666</v>
      </c>
      <c r="L18" s="278">
        <f t="shared" si="0"/>
        <v>5.624999999999325E-3</v>
      </c>
    </row>
    <row r="19" spans="1:12" s="279" customFormat="1" x14ac:dyDescent="0.25">
      <c r="A19" s="279">
        <v>37.115000000000002</v>
      </c>
      <c r="B19" s="279">
        <v>1</v>
      </c>
      <c r="D19" s="279">
        <v>0.2</v>
      </c>
      <c r="H19" s="281">
        <v>0.14263888888888901</v>
      </c>
      <c r="I19" s="281">
        <v>1.0416666666666666E-2</v>
      </c>
      <c r="J19" s="281">
        <v>3.4722222222222224E-4</v>
      </c>
      <c r="K19" s="281">
        <f t="shared" si="1"/>
        <v>0.13680555555555554</v>
      </c>
      <c r="L19" s="281">
        <f t="shared" si="0"/>
        <v>5.833333333333468E-3</v>
      </c>
    </row>
    <row r="20" spans="1:12" x14ac:dyDescent="0.25">
      <c r="A20" s="277">
        <v>39.97</v>
      </c>
      <c r="B20" s="277">
        <v>2</v>
      </c>
      <c r="H20" s="278">
        <v>0.153611111111111</v>
      </c>
      <c r="I20" s="278">
        <v>1.0416666666666666E-2</v>
      </c>
      <c r="K20" s="278">
        <f t="shared" si="1"/>
        <v>0.1472222222222222</v>
      </c>
      <c r="L20" s="278">
        <f t="shared" si="0"/>
        <v>6.3888888888888051E-3</v>
      </c>
    </row>
    <row r="21" spans="1:12" s="279" customFormat="1" x14ac:dyDescent="0.25">
      <c r="A21" s="279">
        <v>42.825000000000003</v>
      </c>
      <c r="B21" s="279">
        <v>1</v>
      </c>
      <c r="C21" s="279" t="s">
        <v>328</v>
      </c>
      <c r="D21" s="279">
        <v>0.2</v>
      </c>
      <c r="E21" s="279">
        <v>1</v>
      </c>
      <c r="F21" s="279">
        <v>1</v>
      </c>
      <c r="H21" s="281">
        <v>0.164583333333333</v>
      </c>
      <c r="I21" s="281">
        <v>1.0416666666666666E-2</v>
      </c>
      <c r="J21" s="281">
        <v>3.4722222222222224E-4</v>
      </c>
      <c r="K21" s="281">
        <f t="shared" si="1"/>
        <v>0.15798611111111108</v>
      </c>
      <c r="L21" s="281">
        <f t="shared" si="0"/>
        <v>6.5972222222219212E-3</v>
      </c>
    </row>
    <row r="22" spans="1:12" x14ac:dyDescent="0.25">
      <c r="A22" s="277">
        <v>45.68</v>
      </c>
      <c r="B22" s="277">
        <v>2</v>
      </c>
      <c r="C22" s="277">
        <v>1</v>
      </c>
      <c r="H22" s="278">
        <v>0.17555555555555499</v>
      </c>
      <c r="I22" s="278">
        <v>1.0416666666666666E-2</v>
      </c>
      <c r="J22" s="278">
        <v>3.4722222222222224E-4</v>
      </c>
      <c r="K22" s="278">
        <f t="shared" si="1"/>
        <v>0.16874999999999996</v>
      </c>
      <c r="L22" s="278">
        <f t="shared" si="0"/>
        <v>6.8055555555550373E-3</v>
      </c>
    </row>
    <row r="23" spans="1:12" s="279" customFormat="1" x14ac:dyDescent="0.25">
      <c r="A23" s="279">
        <v>48.534999999999997</v>
      </c>
      <c r="B23" s="279">
        <v>1</v>
      </c>
      <c r="C23" s="279" t="s">
        <v>328</v>
      </c>
      <c r="D23" s="279">
        <v>0.2</v>
      </c>
      <c r="E23" s="279" t="s">
        <v>328</v>
      </c>
      <c r="G23" s="279">
        <v>1</v>
      </c>
      <c r="H23" s="281">
        <v>0.18652777777777799</v>
      </c>
      <c r="I23" s="281">
        <v>1.0416666666666666E-2</v>
      </c>
      <c r="J23" s="281">
        <v>3.4722222222222224E-4</v>
      </c>
      <c r="K23" s="281">
        <f t="shared" si="1"/>
        <v>0.17951388888888883</v>
      </c>
      <c r="L23" s="281">
        <f t="shared" si="0"/>
        <v>7.0138888888891526E-3</v>
      </c>
    </row>
    <row r="24" spans="1:12" x14ac:dyDescent="0.25">
      <c r="A24" s="277">
        <v>51.39</v>
      </c>
      <c r="B24" s="277">
        <v>2</v>
      </c>
      <c r="C24" s="277">
        <v>1</v>
      </c>
      <c r="E24" s="277">
        <v>1</v>
      </c>
      <c r="H24" s="278">
        <v>0.19750000000000001</v>
      </c>
      <c r="I24" s="278">
        <v>1.0416666666666666E-2</v>
      </c>
      <c r="J24" s="278">
        <v>3.4722222222222224E-4</v>
      </c>
      <c r="K24" s="278">
        <f t="shared" si="1"/>
        <v>0.19027777777777771</v>
      </c>
      <c r="L24" s="278">
        <f t="shared" si="0"/>
        <v>7.2222222222222965E-3</v>
      </c>
    </row>
    <row r="25" spans="1:12" s="279" customFormat="1" x14ac:dyDescent="0.25">
      <c r="A25" s="279">
        <v>54.244999999999997</v>
      </c>
      <c r="B25" s="279">
        <v>1</v>
      </c>
      <c r="C25" s="279" t="s">
        <v>328</v>
      </c>
      <c r="D25" s="279">
        <v>0.2</v>
      </c>
      <c r="F25" s="279">
        <v>1</v>
      </c>
      <c r="H25" s="281">
        <v>0.208472222222222</v>
      </c>
      <c r="I25" s="281">
        <v>1.0416666666666666E-2</v>
      </c>
      <c r="J25" s="281">
        <v>3.4722222222222224E-4</v>
      </c>
      <c r="K25" s="281">
        <f t="shared" si="1"/>
        <v>0.20104166666666659</v>
      </c>
      <c r="L25" s="281">
        <f t="shared" si="0"/>
        <v>7.4305555555554126E-3</v>
      </c>
    </row>
    <row r="26" spans="1:12" x14ac:dyDescent="0.25">
      <c r="A26" s="277">
        <v>57.1</v>
      </c>
      <c r="B26" s="277">
        <v>2</v>
      </c>
      <c r="C26" s="277">
        <v>1</v>
      </c>
      <c r="H26" s="278">
        <v>0.219444444444444</v>
      </c>
      <c r="I26" s="278">
        <v>1.0416666666666666E-2</v>
      </c>
      <c r="J26" s="278">
        <v>3.4722222222222224E-4</v>
      </c>
      <c r="K26" s="278">
        <f t="shared" si="1"/>
        <v>0.21180555555555547</v>
      </c>
      <c r="L26" s="278">
        <f t="shared" si="0"/>
        <v>7.6388888888885287E-3</v>
      </c>
    </row>
    <row r="27" spans="1:12" s="279" customFormat="1" x14ac:dyDescent="0.25">
      <c r="A27" s="279">
        <v>59.954999999999998</v>
      </c>
      <c r="B27" s="279">
        <v>1</v>
      </c>
      <c r="C27" s="279" t="s">
        <v>328</v>
      </c>
      <c r="D27" s="279">
        <v>0.2</v>
      </c>
      <c r="E27" s="279">
        <v>1</v>
      </c>
      <c r="G27" s="279">
        <v>1</v>
      </c>
      <c r="H27" s="281">
        <v>0.23041666666666599</v>
      </c>
      <c r="I27" s="281">
        <v>1.0416666666666666E-2</v>
      </c>
      <c r="J27" s="281">
        <v>3.4722222222222224E-4</v>
      </c>
      <c r="K27" s="281">
        <f t="shared" si="1"/>
        <v>0.22256944444444435</v>
      </c>
      <c r="L27" s="281">
        <f t="shared" si="0"/>
        <v>7.8472222222216448E-3</v>
      </c>
    </row>
    <row r="28" spans="1:12" x14ac:dyDescent="0.25">
      <c r="A28" s="277">
        <v>62.81</v>
      </c>
      <c r="B28" s="277">
        <v>2</v>
      </c>
      <c r="C28" s="277">
        <v>1</v>
      </c>
      <c r="H28" s="278">
        <v>0.24138888888888901</v>
      </c>
      <c r="I28" s="278">
        <v>1.0891203703703703E-2</v>
      </c>
      <c r="J28" s="278">
        <v>3.4722222222222224E-4</v>
      </c>
      <c r="K28" s="278">
        <f t="shared" si="1"/>
        <v>0.23380787037037026</v>
      </c>
      <c r="L28" s="278">
        <f t="shared" si="0"/>
        <v>7.5810185185187506E-3</v>
      </c>
    </row>
    <row r="29" spans="1:12" s="279" customFormat="1" x14ac:dyDescent="0.25">
      <c r="A29" s="279">
        <v>65.665000000000006</v>
      </c>
      <c r="B29" s="279">
        <v>1</v>
      </c>
      <c r="C29" s="279" t="s">
        <v>328</v>
      </c>
      <c r="D29" s="279">
        <v>0.2</v>
      </c>
      <c r="E29" s="279" t="s">
        <v>328</v>
      </c>
      <c r="F29" s="279">
        <v>1</v>
      </c>
      <c r="H29" s="281">
        <v>0.25236111111111098</v>
      </c>
      <c r="I29" s="281">
        <v>1.0891203703703703E-2</v>
      </c>
      <c r="J29" s="281">
        <v>5.2083333333333333E-4</v>
      </c>
      <c r="K29" s="281">
        <f t="shared" si="1"/>
        <v>0.24521990740740729</v>
      </c>
      <c r="L29" s="281">
        <f t="shared" si="0"/>
        <v>7.1412037037036913E-3</v>
      </c>
    </row>
    <row r="30" spans="1:12" x14ac:dyDescent="0.25">
      <c r="A30" s="277">
        <v>68.52</v>
      </c>
      <c r="B30" s="277">
        <v>2</v>
      </c>
      <c r="C30" s="277">
        <v>1</v>
      </c>
      <c r="E30" s="277">
        <v>1</v>
      </c>
      <c r="H30" s="278">
        <v>0.26333333333333298</v>
      </c>
      <c r="I30" s="278">
        <v>1.0891203703703703E-2</v>
      </c>
      <c r="J30" s="278">
        <v>3.4722222222222224E-4</v>
      </c>
      <c r="K30" s="278">
        <f t="shared" si="1"/>
        <v>0.25645833333333323</v>
      </c>
      <c r="L30" s="278">
        <f t="shared" si="0"/>
        <v>6.8749999999997424E-3</v>
      </c>
    </row>
    <row r="31" spans="1:12" s="279" customFormat="1" x14ac:dyDescent="0.25">
      <c r="A31" s="279">
        <v>71.375</v>
      </c>
      <c r="B31" s="279">
        <v>1</v>
      </c>
      <c r="C31" s="279" t="s">
        <v>328</v>
      </c>
      <c r="D31" s="279">
        <v>0.2</v>
      </c>
      <c r="G31" s="279">
        <v>1</v>
      </c>
      <c r="H31" s="281">
        <v>0.27430555555555503</v>
      </c>
      <c r="I31" s="281">
        <v>1.0891203703703703E-2</v>
      </c>
      <c r="J31" s="281">
        <v>5.2083333333333333E-4</v>
      </c>
      <c r="K31" s="281">
        <f t="shared" si="1"/>
        <v>0.26787037037037031</v>
      </c>
      <c r="L31" s="281">
        <f t="shared" si="0"/>
        <v>6.4351851851847108E-3</v>
      </c>
    </row>
    <row r="32" spans="1:12" x14ac:dyDescent="0.25">
      <c r="A32" s="277">
        <v>74.23</v>
      </c>
      <c r="B32" s="277">
        <v>2</v>
      </c>
      <c r="C32" s="277">
        <v>1</v>
      </c>
      <c r="H32" s="278">
        <v>0.28527777777777802</v>
      </c>
      <c r="I32" s="278">
        <v>1.0891203703703703E-2</v>
      </c>
      <c r="J32" s="278">
        <v>3.4722222222222224E-4</v>
      </c>
      <c r="K32" s="278">
        <f t="shared" si="1"/>
        <v>0.27910879629629626</v>
      </c>
      <c r="L32" s="278">
        <f t="shared" si="0"/>
        <v>6.1689814814817612E-3</v>
      </c>
    </row>
    <row r="33" spans="1:12" s="279" customFormat="1" x14ac:dyDescent="0.25">
      <c r="A33" s="279">
        <v>77.084999999999994</v>
      </c>
      <c r="B33" s="279">
        <v>1</v>
      </c>
      <c r="C33" s="279" t="s">
        <v>328</v>
      </c>
      <c r="D33" s="279">
        <v>0.2</v>
      </c>
      <c r="E33" s="279">
        <v>1</v>
      </c>
      <c r="F33" s="279">
        <v>1</v>
      </c>
      <c r="H33" s="281">
        <v>0.29625000000000001</v>
      </c>
      <c r="I33" s="281">
        <v>1.0891203703703703E-2</v>
      </c>
      <c r="J33" s="281">
        <v>5.2083333333333333E-4</v>
      </c>
      <c r="K33" s="281">
        <f t="shared" si="1"/>
        <v>0.29052083333333334</v>
      </c>
      <c r="L33" s="281">
        <f t="shared" si="0"/>
        <v>5.7291666666666741E-3</v>
      </c>
    </row>
    <row r="34" spans="1:12" x14ac:dyDescent="0.25">
      <c r="A34" s="277">
        <v>79.94</v>
      </c>
      <c r="B34" s="277">
        <v>2</v>
      </c>
      <c r="C34" s="277">
        <v>1</v>
      </c>
      <c r="H34" s="278">
        <v>0.30722222222222201</v>
      </c>
      <c r="I34" s="278">
        <v>1.0891203703703703E-2</v>
      </c>
      <c r="J34" s="278">
        <v>3.4722222222222224E-4</v>
      </c>
      <c r="K34" s="278">
        <f t="shared" si="1"/>
        <v>0.30175925925925928</v>
      </c>
      <c r="L34" s="278">
        <f t="shared" si="0"/>
        <v>5.4629629629627252E-3</v>
      </c>
    </row>
    <row r="35" spans="1:12" s="279" customFormat="1" x14ac:dyDescent="0.25">
      <c r="A35" s="279">
        <v>82.795000000000002</v>
      </c>
      <c r="B35" s="279">
        <v>1</v>
      </c>
      <c r="C35" s="279" t="s">
        <v>328</v>
      </c>
      <c r="D35" s="279">
        <v>0.2</v>
      </c>
      <c r="E35" s="279" t="s">
        <v>328</v>
      </c>
      <c r="G35" s="279">
        <v>1</v>
      </c>
      <c r="H35" s="281">
        <v>0.318194444444444</v>
      </c>
      <c r="I35" s="281">
        <v>1.1377314814814814E-2</v>
      </c>
      <c r="J35" s="281">
        <v>5.2083333333333333E-4</v>
      </c>
      <c r="K35" s="281">
        <f t="shared" si="1"/>
        <v>0.31365740740740744</v>
      </c>
      <c r="L35" s="281">
        <f t="shared" si="0"/>
        <v>4.537037037036562E-3</v>
      </c>
    </row>
    <row r="36" spans="1:12" x14ac:dyDescent="0.25">
      <c r="A36" s="277">
        <v>85.65</v>
      </c>
      <c r="B36" s="277">
        <v>2</v>
      </c>
      <c r="C36" s="277">
        <v>1</v>
      </c>
      <c r="E36" s="277">
        <v>1</v>
      </c>
      <c r="H36" s="278">
        <v>0.329166666666667</v>
      </c>
      <c r="I36" s="278">
        <v>1.1377314814814814E-2</v>
      </c>
      <c r="J36" s="278">
        <v>3.4722222222222224E-4</v>
      </c>
      <c r="K36" s="278">
        <f t="shared" si="1"/>
        <v>0.32538194444444446</v>
      </c>
      <c r="L36" s="278">
        <f t="shared" si="0"/>
        <v>3.7847222222225363E-3</v>
      </c>
    </row>
    <row r="37" spans="1:12" s="279" customFormat="1" x14ac:dyDescent="0.25">
      <c r="A37" s="279">
        <v>88.504999999999995</v>
      </c>
      <c r="B37" s="279">
        <v>1</v>
      </c>
      <c r="C37" s="279" t="s">
        <v>328</v>
      </c>
      <c r="D37" s="279">
        <v>0.2</v>
      </c>
      <c r="F37" s="279">
        <v>1</v>
      </c>
      <c r="H37" s="281">
        <v>0.34013888888888899</v>
      </c>
      <c r="I37" s="281">
        <v>1.1377314814814814E-2</v>
      </c>
      <c r="J37" s="281">
        <v>5.2083333333333333E-4</v>
      </c>
      <c r="K37" s="281">
        <f t="shared" si="1"/>
        <v>0.33728009259259262</v>
      </c>
      <c r="L37" s="281">
        <f t="shared" si="0"/>
        <v>2.8587962962963731E-3</v>
      </c>
    </row>
    <row r="38" spans="1:12" x14ac:dyDescent="0.25">
      <c r="A38" s="277">
        <v>91.36</v>
      </c>
      <c r="B38" s="277">
        <v>2</v>
      </c>
      <c r="C38" s="277">
        <v>1</v>
      </c>
      <c r="H38" s="278">
        <v>0.35111111111111099</v>
      </c>
      <c r="I38" s="278">
        <v>1.1377314814814814E-2</v>
      </c>
      <c r="J38" s="278">
        <v>3.4722222222222224E-4</v>
      </c>
      <c r="K38" s="278">
        <f t="shared" si="1"/>
        <v>0.34900462962962964</v>
      </c>
      <c r="L38" s="278">
        <f t="shared" si="0"/>
        <v>2.1064814814813482E-3</v>
      </c>
    </row>
    <row r="39" spans="1:12" s="279" customFormat="1" x14ac:dyDescent="0.25">
      <c r="A39" s="279">
        <v>94.215000000000003</v>
      </c>
      <c r="B39" s="279">
        <v>1</v>
      </c>
      <c r="C39" s="279" t="s">
        <v>328</v>
      </c>
      <c r="D39" s="279">
        <v>0.2</v>
      </c>
      <c r="E39" s="279">
        <v>1</v>
      </c>
      <c r="G39" s="279">
        <v>1</v>
      </c>
      <c r="H39" s="281">
        <v>0.36208333333333298</v>
      </c>
      <c r="I39" s="281">
        <v>1.1377314814814814E-2</v>
      </c>
      <c r="J39" s="281">
        <v>5.2083333333333333E-4</v>
      </c>
      <c r="K39" s="281">
        <f t="shared" si="1"/>
        <v>0.36090277777777779</v>
      </c>
      <c r="L39" s="281">
        <f t="shared" si="0"/>
        <v>1.180555555555185E-3</v>
      </c>
    </row>
    <row r="40" spans="1:12" x14ac:dyDescent="0.25">
      <c r="A40" s="277">
        <v>97.07</v>
      </c>
      <c r="B40" s="277">
        <v>2</v>
      </c>
      <c r="C40" s="277">
        <v>1</v>
      </c>
      <c r="H40" s="278">
        <v>0.37305555555555497</v>
      </c>
      <c r="I40" s="278">
        <v>1.1377314814814814E-2</v>
      </c>
      <c r="J40" s="278">
        <v>3.4722222222222224E-4</v>
      </c>
      <c r="K40" s="278">
        <f t="shared" si="1"/>
        <v>0.37262731481481481</v>
      </c>
      <c r="L40" s="278">
        <f t="shared" si="0"/>
        <v>4.2824074074016005E-4</v>
      </c>
    </row>
    <row r="41" spans="1:12" s="279" customFormat="1" x14ac:dyDescent="0.25">
      <c r="A41" s="279" t="s">
        <v>321</v>
      </c>
      <c r="H41" s="281">
        <v>0.38402777777777802</v>
      </c>
      <c r="I41" s="281">
        <v>1.1377314814814814E-2</v>
      </c>
      <c r="K41" s="281">
        <f t="shared" si="1"/>
        <v>0.38400462962962961</v>
      </c>
      <c r="L41" s="281">
        <f t="shared" si="0"/>
        <v>2.3148148148410819E-5</v>
      </c>
    </row>
    <row r="42" spans="1:12" x14ac:dyDescent="0.25">
      <c r="C42" s="279">
        <v>18</v>
      </c>
      <c r="D42" s="279">
        <f>SUM(D5:D41)</f>
        <v>3.2000000000000006</v>
      </c>
      <c r="E42" s="279">
        <f>SUM(E5:E41)</f>
        <v>10</v>
      </c>
      <c r="F42" s="279">
        <f>SUM(F5:F41)</f>
        <v>9</v>
      </c>
      <c r="G42" s="279">
        <f>SUM(G5:G41)</f>
        <v>5</v>
      </c>
    </row>
    <row r="44" spans="1:12" x14ac:dyDescent="0.25">
      <c r="D44" s="279" t="s">
        <v>344</v>
      </c>
    </row>
    <row r="45" spans="1:12" x14ac:dyDescent="0.25">
      <c r="C45" s="279" t="s">
        <v>322</v>
      </c>
      <c r="D45" s="279" t="s">
        <v>323</v>
      </c>
      <c r="E45" s="279" t="s">
        <v>324</v>
      </c>
      <c r="H45" s="277" t="s">
        <v>7</v>
      </c>
      <c r="I45" s="277" t="s">
        <v>336</v>
      </c>
      <c r="J45" s="277" t="s">
        <v>337</v>
      </c>
    </row>
    <row r="46" spans="1:12" x14ac:dyDescent="0.25">
      <c r="C46" s="284" t="s">
        <v>343</v>
      </c>
      <c r="D46" s="280">
        <v>0.65833333333333333</v>
      </c>
      <c r="E46" s="280">
        <v>0.23124999999999998</v>
      </c>
      <c r="G46" s="279" t="s">
        <v>342</v>
      </c>
      <c r="H46" s="285" t="s">
        <v>333</v>
      </c>
      <c r="I46" s="277">
        <v>0</v>
      </c>
      <c r="J46" s="277">
        <v>0</v>
      </c>
    </row>
    <row r="47" spans="1:12" x14ac:dyDescent="0.25">
      <c r="G47" s="279" t="s">
        <v>341</v>
      </c>
      <c r="H47" s="285" t="s">
        <v>333</v>
      </c>
      <c r="I47" s="284" t="s">
        <v>334</v>
      </c>
      <c r="J47" s="284" t="s">
        <v>338</v>
      </c>
    </row>
    <row r="48" spans="1:12" x14ac:dyDescent="0.25">
      <c r="G48" s="279" t="s">
        <v>330</v>
      </c>
      <c r="H48" s="285" t="s">
        <v>333</v>
      </c>
      <c r="I48" s="284" t="s">
        <v>334</v>
      </c>
      <c r="J48" s="284" t="s">
        <v>338</v>
      </c>
    </row>
    <row r="49" spans="7:10" x14ac:dyDescent="0.25">
      <c r="G49" s="279" t="s">
        <v>331</v>
      </c>
      <c r="H49" s="285" t="s">
        <v>335</v>
      </c>
      <c r="I49" s="284" t="s">
        <v>340</v>
      </c>
      <c r="J49" s="284" t="s">
        <v>334</v>
      </c>
    </row>
    <row r="50" spans="7:10" x14ac:dyDescent="0.25">
      <c r="G50" s="279" t="s">
        <v>332</v>
      </c>
      <c r="H50" s="285" t="s">
        <v>339</v>
      </c>
      <c r="I50" s="284" t="s">
        <v>340</v>
      </c>
      <c r="J50" s="284" t="s">
        <v>334</v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8.140625" customWidth="1"/>
    <col min="5" max="5" width="8.140625" style="13" customWidth="1"/>
    <col min="6" max="6" width="8.140625" customWidth="1"/>
    <col min="7" max="7" width="8.140625" style="13" customWidth="1"/>
    <col min="8" max="9" width="8.140625" customWidth="1"/>
    <col min="10" max="10" width="8.140625" style="13" customWidth="1"/>
    <col min="11" max="11" width="8.140625" customWidth="1"/>
    <col min="12" max="12" width="8.140625" style="13" customWidth="1"/>
    <col min="13" max="13" width="8.140625" customWidth="1"/>
    <col min="14" max="15" width="8.140625" style="46" customWidth="1"/>
    <col min="16" max="16" width="8.140625" style="30" customWidth="1"/>
    <col min="17" max="17" width="8.140625" style="41" customWidth="1"/>
    <col min="18" max="18" width="8.140625" customWidth="1"/>
    <col min="19" max="19" width="8.140625" style="13" customWidth="1"/>
    <col min="20" max="21" width="8.140625" customWidth="1"/>
    <col min="22" max="22" width="8.140625" style="13" customWidth="1"/>
    <col min="23" max="23" width="8.140625" customWidth="1"/>
    <col min="24" max="24" width="8.140625" style="13" customWidth="1"/>
    <col min="25" max="25" width="8.140625" customWidth="1"/>
    <col min="26" max="26" width="6.28515625" customWidth="1"/>
    <col min="27" max="27" width="8.140625" style="13" customWidth="1"/>
    <col min="28" max="28" width="6.5703125" style="13" bestFit="1" customWidth="1"/>
    <col min="29" max="29" width="8.140625" style="13" bestFit="1" customWidth="1"/>
    <col min="30" max="30" width="8.140625" customWidth="1"/>
    <col min="31" max="31" width="8.140625" style="9" customWidth="1"/>
    <col min="32" max="32" width="8.140625" customWidth="1"/>
    <col min="33" max="33" width="8.140625" style="9" customWidth="1"/>
    <col min="34" max="34" width="8.140625" customWidth="1"/>
    <col min="35" max="35" width="8.140625" style="9" customWidth="1"/>
    <col min="36" max="36" width="8.140625" customWidth="1"/>
    <col min="37" max="39" width="8.140625" style="9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10.42578125" bestFit="1" customWidth="1"/>
    <col min="45" max="57" width="8.140625" customWidth="1"/>
  </cols>
  <sheetData>
    <row r="1" spans="1:43" s="6" customFormat="1" x14ac:dyDescent="0.25">
      <c r="D1" s="7" t="s">
        <v>1</v>
      </c>
      <c r="E1" s="12" t="s">
        <v>4</v>
      </c>
      <c r="F1" s="6" t="s">
        <v>7</v>
      </c>
      <c r="G1" s="12" t="s">
        <v>4</v>
      </c>
      <c r="H1" s="8" t="s">
        <v>8</v>
      </c>
      <c r="I1" s="6" t="s">
        <v>16</v>
      </c>
      <c r="J1" s="12" t="s">
        <v>4</v>
      </c>
      <c r="K1" s="6" t="s">
        <v>7</v>
      </c>
      <c r="L1" s="12" t="s">
        <v>4</v>
      </c>
      <c r="M1" s="10" t="s">
        <v>8</v>
      </c>
      <c r="N1" s="43" t="s">
        <v>20</v>
      </c>
      <c r="O1" s="82" t="s">
        <v>42</v>
      </c>
      <c r="P1" s="29" t="s">
        <v>2</v>
      </c>
      <c r="Q1" s="40" t="s">
        <v>4</v>
      </c>
      <c r="R1" s="6" t="s">
        <v>7</v>
      </c>
      <c r="S1" s="12" t="s">
        <v>4</v>
      </c>
      <c r="T1" s="8" t="s">
        <v>8</v>
      </c>
      <c r="U1" s="6" t="s">
        <v>3</v>
      </c>
      <c r="V1" s="12" t="s">
        <v>7</v>
      </c>
      <c r="W1" s="8" t="s">
        <v>8</v>
      </c>
      <c r="X1" s="12" t="s">
        <v>19</v>
      </c>
      <c r="Y1" s="9" t="s">
        <v>6</v>
      </c>
      <c r="Z1" s="9" t="s">
        <v>5</v>
      </c>
      <c r="AA1" s="12" t="s">
        <v>8</v>
      </c>
      <c r="AB1" s="6" t="s">
        <v>25</v>
      </c>
      <c r="AC1" s="6" t="s">
        <v>22</v>
      </c>
      <c r="AD1" s="7" t="s">
        <v>9</v>
      </c>
      <c r="AE1" s="9" t="s">
        <v>5</v>
      </c>
      <c r="AF1" s="6" t="s">
        <v>40</v>
      </c>
      <c r="AG1" s="9" t="s">
        <v>5</v>
      </c>
      <c r="AH1" s="6" t="s">
        <v>11</v>
      </c>
      <c r="AI1" s="9" t="s">
        <v>5</v>
      </c>
      <c r="AJ1" s="6" t="s">
        <v>12</v>
      </c>
      <c r="AK1" s="9" t="s">
        <v>5</v>
      </c>
      <c r="AL1" s="6" t="s">
        <v>39</v>
      </c>
      <c r="AM1" s="9" t="s">
        <v>5</v>
      </c>
      <c r="AN1" s="6" t="s">
        <v>13</v>
      </c>
      <c r="AO1" s="9" t="s">
        <v>5</v>
      </c>
      <c r="AP1" s="6" t="s">
        <v>41</v>
      </c>
      <c r="AQ1" s="37" t="s">
        <v>5</v>
      </c>
    </row>
    <row r="2" spans="1:43" x14ac:dyDescent="0.25">
      <c r="B2" s="1" t="s">
        <v>24</v>
      </c>
      <c r="C2" s="81">
        <v>41093</v>
      </c>
      <c r="D2" s="3">
        <v>14</v>
      </c>
      <c r="E2" s="13">
        <v>14.35</v>
      </c>
      <c r="F2" s="2">
        <v>0.22569444444444445</v>
      </c>
      <c r="G2" s="14">
        <v>0.20902777777777778</v>
      </c>
      <c r="H2" s="15">
        <v>5.002314814814815E-2</v>
      </c>
      <c r="M2" s="11"/>
      <c r="N2" s="44"/>
      <c r="O2" s="26"/>
      <c r="T2" s="4"/>
      <c r="W2" s="4"/>
      <c r="X2" s="13">
        <f t="shared" ref="X2:X37" si="0">E2+J2+Q2+U2+N2</f>
        <v>14.35</v>
      </c>
      <c r="Y2" s="27">
        <v>14</v>
      </c>
      <c r="Z2" s="27">
        <f t="shared" ref="Z2:Z37" si="1">X2-Y2</f>
        <v>0.34999999999999964</v>
      </c>
      <c r="AA2" s="14">
        <f t="shared" ref="AA2:AA38" si="2">H2+M2+T2+W2</f>
        <v>5.002314814814815E-2</v>
      </c>
      <c r="AB2" s="32"/>
      <c r="AC2"/>
      <c r="AD2" s="3">
        <v>82.7</v>
      </c>
      <c r="AF2">
        <v>41</v>
      </c>
      <c r="AH2">
        <v>59</v>
      </c>
      <c r="AJ2">
        <v>97</v>
      </c>
      <c r="AL2">
        <v>100</v>
      </c>
      <c r="AN2">
        <v>30</v>
      </c>
      <c r="AP2">
        <v>43</v>
      </c>
      <c r="AQ2" s="39"/>
    </row>
    <row r="3" spans="1:43" x14ac:dyDescent="0.25">
      <c r="A3" s="25">
        <v>5</v>
      </c>
      <c r="B3" s="1" t="s">
        <v>26</v>
      </c>
      <c r="C3" s="81">
        <v>41095</v>
      </c>
      <c r="D3" s="3"/>
      <c r="H3" s="4"/>
      <c r="I3">
        <v>4</v>
      </c>
      <c r="J3" s="13">
        <v>4.01</v>
      </c>
      <c r="K3" s="2">
        <v>0.22569444444444445</v>
      </c>
      <c r="L3" s="14">
        <v>0.20972222222222223</v>
      </c>
      <c r="M3" s="26">
        <v>1.3993055555555555E-2</v>
      </c>
      <c r="N3" s="44">
        <v>2.74</v>
      </c>
      <c r="O3" s="26">
        <v>1.3194444444444444E-2</v>
      </c>
      <c r="P3" s="30" t="s">
        <v>28</v>
      </c>
      <c r="Q3" s="41">
        <v>6</v>
      </c>
      <c r="R3" s="2">
        <v>0.16527777777777777</v>
      </c>
      <c r="S3" s="14">
        <v>0.16250000000000001</v>
      </c>
      <c r="T3" s="47">
        <v>1.6261574074074074E-2</v>
      </c>
      <c r="W3" s="4"/>
      <c r="X3" s="13">
        <f t="shared" si="0"/>
        <v>12.75</v>
      </c>
      <c r="Y3" s="27">
        <f>10+2.74</f>
        <v>12.74</v>
      </c>
      <c r="Z3" s="27">
        <f t="shared" si="1"/>
        <v>9.9999999999997868E-3</v>
      </c>
      <c r="AA3" s="14">
        <f>H3+M3+T3+W3+O3</f>
        <v>4.3449074074074077E-2</v>
      </c>
      <c r="AB3" s="32"/>
      <c r="AC3"/>
      <c r="AD3" s="3"/>
      <c r="AL3"/>
      <c r="AQ3" s="37"/>
    </row>
    <row r="4" spans="1:43" x14ac:dyDescent="0.25">
      <c r="A4" s="18"/>
      <c r="B4" s="17" t="s">
        <v>27</v>
      </c>
      <c r="C4" s="85">
        <v>41098</v>
      </c>
      <c r="D4" s="19">
        <v>22</v>
      </c>
      <c r="E4" s="20">
        <v>22.84</v>
      </c>
      <c r="F4" s="21">
        <v>0.22569444444444445</v>
      </c>
      <c r="G4" s="22">
        <v>0.20833333333333334</v>
      </c>
      <c r="H4" s="23">
        <v>7.9351851851851854E-2</v>
      </c>
      <c r="I4" s="18"/>
      <c r="J4" s="20"/>
      <c r="K4" s="18"/>
      <c r="L4" s="20"/>
      <c r="M4" s="18"/>
      <c r="N4" s="45"/>
      <c r="O4" s="84"/>
      <c r="P4" s="31"/>
      <c r="Q4" s="42"/>
      <c r="R4" s="18"/>
      <c r="S4" s="20"/>
      <c r="T4" s="24"/>
      <c r="U4" s="18"/>
      <c r="V4" s="20"/>
      <c r="W4" s="24"/>
      <c r="X4" s="20">
        <f t="shared" si="0"/>
        <v>22.84</v>
      </c>
      <c r="Y4" s="18">
        <v>22</v>
      </c>
      <c r="Z4" s="18">
        <f t="shared" si="1"/>
        <v>0.83999999999999986</v>
      </c>
      <c r="AA4" s="22">
        <f t="shared" si="2"/>
        <v>7.9351851851851854E-2</v>
      </c>
      <c r="AB4" s="33">
        <f>SUM(X2:X4)</f>
        <v>49.94</v>
      </c>
      <c r="AC4" s="21">
        <f>SUM(AA2:AA4)</f>
        <v>0.17282407407407407</v>
      </c>
      <c r="AD4" s="19"/>
      <c r="AE4" s="36"/>
      <c r="AF4" s="18"/>
      <c r="AG4" s="36"/>
      <c r="AH4" s="18"/>
      <c r="AI4" s="36"/>
      <c r="AJ4" s="18"/>
      <c r="AK4" s="36"/>
      <c r="AL4" s="18"/>
      <c r="AM4" s="36"/>
      <c r="AN4" s="18"/>
      <c r="AO4" s="36"/>
      <c r="AP4" s="18"/>
      <c r="AQ4" s="38"/>
    </row>
    <row r="5" spans="1:43" x14ac:dyDescent="0.25">
      <c r="B5" s="1" t="s">
        <v>24</v>
      </c>
      <c r="C5" s="81">
        <v>41100</v>
      </c>
      <c r="D5" s="3">
        <v>12</v>
      </c>
      <c r="E5" s="13">
        <v>13.34</v>
      </c>
      <c r="F5" s="2">
        <v>0.22569444444444445</v>
      </c>
      <c r="G5" s="14">
        <v>0.19375000000000001</v>
      </c>
      <c r="H5" s="47">
        <v>4.3159722222222224E-2</v>
      </c>
      <c r="I5">
        <v>2</v>
      </c>
      <c r="J5" s="13">
        <v>0</v>
      </c>
      <c r="K5" s="2">
        <v>0.22569444444444445</v>
      </c>
      <c r="L5" s="14">
        <v>0</v>
      </c>
      <c r="M5" s="26"/>
      <c r="N5" s="44"/>
      <c r="O5" s="26"/>
      <c r="P5" s="30" t="s">
        <v>30</v>
      </c>
      <c r="Q5" s="41">
        <v>0</v>
      </c>
      <c r="R5" s="2">
        <v>0</v>
      </c>
      <c r="S5" s="14"/>
      <c r="T5" s="15"/>
      <c r="W5" s="4"/>
      <c r="X5" s="13">
        <f t="shared" si="0"/>
        <v>13.34</v>
      </c>
      <c r="Y5" s="27">
        <v>14</v>
      </c>
      <c r="Z5" s="27">
        <f t="shared" si="1"/>
        <v>-0.66000000000000014</v>
      </c>
      <c r="AA5" s="14">
        <f t="shared" si="2"/>
        <v>4.3159722222222224E-2</v>
      </c>
      <c r="AB5" s="32"/>
      <c r="AC5"/>
      <c r="AD5" s="3">
        <v>83.2</v>
      </c>
      <c r="AE5" s="9">
        <f>$AD$2-AD5</f>
        <v>-0.5</v>
      </c>
      <c r="AF5">
        <v>40</v>
      </c>
      <c r="AG5" s="9">
        <f>$AF$2-AF5</f>
        <v>1</v>
      </c>
      <c r="AH5">
        <v>59</v>
      </c>
      <c r="AI5" s="9">
        <f>$AH$2-AH5</f>
        <v>0</v>
      </c>
      <c r="AJ5">
        <v>95</v>
      </c>
      <c r="AK5" s="9">
        <f>$AJ$2-AJ5</f>
        <v>2</v>
      </c>
      <c r="AL5">
        <v>100</v>
      </c>
      <c r="AM5" s="9">
        <f>$AL$2-AL5</f>
        <v>0</v>
      </c>
      <c r="AN5">
        <v>30</v>
      </c>
      <c r="AO5" s="9">
        <f>$AN$2-AN5</f>
        <v>0</v>
      </c>
      <c r="AP5">
        <v>41</v>
      </c>
      <c r="AQ5" s="37">
        <f>$AP$2-AP5</f>
        <v>2</v>
      </c>
    </row>
    <row r="6" spans="1:43" x14ac:dyDescent="0.25">
      <c r="A6" s="6">
        <v>6</v>
      </c>
      <c r="B6" s="1" t="s">
        <v>26</v>
      </c>
      <c r="C6" s="81">
        <v>41102</v>
      </c>
      <c r="D6" s="3"/>
      <c r="H6" s="4"/>
      <c r="I6">
        <v>4</v>
      </c>
      <c r="J6" s="13">
        <v>4.33</v>
      </c>
      <c r="K6" s="2">
        <v>0.22569444444444445</v>
      </c>
      <c r="L6" s="14">
        <v>0.19652777777777777</v>
      </c>
      <c r="M6" s="26">
        <v>1.4131944444444445E-2</v>
      </c>
      <c r="N6" s="44">
        <v>1.2</v>
      </c>
      <c r="O6" s="26">
        <v>5.6018518518518518E-3</v>
      </c>
      <c r="P6" s="30" t="s">
        <v>31</v>
      </c>
      <c r="Q6" s="41">
        <v>7.5</v>
      </c>
      <c r="R6" s="2">
        <v>0.18055555555555555</v>
      </c>
      <c r="S6" s="14">
        <v>0.17083333333333331</v>
      </c>
      <c r="T6" s="15">
        <v>2.1319444444444443E-2</v>
      </c>
      <c r="W6" s="4"/>
      <c r="X6" s="13">
        <f t="shared" si="0"/>
        <v>13.03</v>
      </c>
      <c r="Y6" s="46">
        <f>11.5+N6</f>
        <v>12.7</v>
      </c>
      <c r="Z6" s="27">
        <f t="shared" si="1"/>
        <v>0.33000000000000007</v>
      </c>
      <c r="AA6" s="14">
        <f t="shared" si="2"/>
        <v>3.5451388888888886E-2</v>
      </c>
      <c r="AB6" s="32"/>
      <c r="AC6"/>
      <c r="AD6" s="3"/>
      <c r="AL6"/>
      <c r="AQ6" s="37"/>
    </row>
    <row r="7" spans="1:43" x14ac:dyDescent="0.25">
      <c r="A7" s="56"/>
      <c r="B7" s="17" t="s">
        <v>27</v>
      </c>
      <c r="C7" s="85">
        <v>41105</v>
      </c>
      <c r="D7" s="19">
        <v>24</v>
      </c>
      <c r="E7" s="20">
        <v>23.47</v>
      </c>
      <c r="F7" s="21">
        <v>0.22569444444444445</v>
      </c>
      <c r="G7" s="22">
        <v>0.19722222222222222</v>
      </c>
      <c r="H7" s="23">
        <v>7.7314814814814822E-2</v>
      </c>
      <c r="I7" s="18"/>
      <c r="J7" s="20"/>
      <c r="K7" s="18"/>
      <c r="L7" s="20"/>
      <c r="M7" s="18"/>
      <c r="N7" s="45"/>
      <c r="O7" s="84"/>
      <c r="P7" s="31"/>
      <c r="Q7" s="42"/>
      <c r="R7" s="18"/>
      <c r="S7" s="20"/>
      <c r="T7" s="24"/>
      <c r="U7" s="18"/>
      <c r="V7" s="20"/>
      <c r="W7" s="24"/>
      <c r="X7" s="20">
        <f t="shared" si="0"/>
        <v>23.47</v>
      </c>
      <c r="Y7" s="18">
        <v>24</v>
      </c>
      <c r="Z7" s="34">
        <f t="shared" si="1"/>
        <v>-0.53000000000000114</v>
      </c>
      <c r="AA7" s="22">
        <f t="shared" si="2"/>
        <v>7.7314814814814822E-2</v>
      </c>
      <c r="AB7" s="33">
        <f>SUM(X5:X7)</f>
        <v>49.839999999999996</v>
      </c>
      <c r="AC7" s="21">
        <f>SUM(AA5:AA7)</f>
        <v>0.15592592592592591</v>
      </c>
      <c r="AD7" s="19"/>
      <c r="AE7" s="36"/>
      <c r="AF7" s="18"/>
      <c r="AG7" s="36"/>
      <c r="AH7" s="18"/>
      <c r="AI7" s="36"/>
      <c r="AJ7" s="18"/>
      <c r="AK7" s="36"/>
      <c r="AL7" s="18"/>
      <c r="AM7" s="36"/>
      <c r="AN7" s="18"/>
      <c r="AO7" s="36"/>
      <c r="AP7" s="18"/>
      <c r="AQ7" s="38"/>
    </row>
    <row r="8" spans="1:43" x14ac:dyDescent="0.25">
      <c r="A8" s="6"/>
      <c r="B8" s="1" t="s">
        <v>24</v>
      </c>
      <c r="C8" s="81">
        <v>41107</v>
      </c>
      <c r="D8" s="3">
        <v>18</v>
      </c>
      <c r="E8" s="13">
        <v>18.14</v>
      </c>
      <c r="F8" s="2">
        <v>0.22569444444444445</v>
      </c>
      <c r="G8" s="14">
        <v>0.20069444444444443</v>
      </c>
      <c r="H8" s="15">
        <v>6.0613425925925925E-2</v>
      </c>
      <c r="M8" s="11"/>
      <c r="N8" s="44"/>
      <c r="O8" s="26"/>
      <c r="T8" s="4"/>
      <c r="W8" s="4"/>
      <c r="X8" s="13">
        <f t="shared" si="0"/>
        <v>18.14</v>
      </c>
      <c r="Y8" s="27">
        <v>18</v>
      </c>
      <c r="Z8" s="27">
        <f t="shared" si="1"/>
        <v>0.14000000000000057</v>
      </c>
      <c r="AA8" s="14">
        <f t="shared" si="2"/>
        <v>6.0613425925925925E-2</v>
      </c>
      <c r="AB8" s="32"/>
      <c r="AC8"/>
      <c r="AD8" s="3">
        <v>83.6</v>
      </c>
      <c r="AE8" s="9">
        <f>$AD$2-AD8</f>
        <v>-0.89999999999999147</v>
      </c>
      <c r="AG8" s="9">
        <f>$AF$2-AF8</f>
        <v>41</v>
      </c>
      <c r="AI8" s="9">
        <f>$AH$2-AH8</f>
        <v>59</v>
      </c>
      <c r="AK8" s="9">
        <f>$AJ$2-AJ8</f>
        <v>97</v>
      </c>
      <c r="AL8"/>
      <c r="AM8" s="9">
        <f>$AL$2-AL8</f>
        <v>100</v>
      </c>
      <c r="AO8" s="9">
        <f>$AN$2-AN8</f>
        <v>30</v>
      </c>
      <c r="AQ8" s="37">
        <f>$AP$2-AP8</f>
        <v>43</v>
      </c>
    </row>
    <row r="9" spans="1:43" x14ac:dyDescent="0.25">
      <c r="A9" s="6">
        <v>7</v>
      </c>
      <c r="B9" s="1" t="s">
        <v>26</v>
      </c>
      <c r="C9" s="81">
        <v>41109</v>
      </c>
      <c r="D9" s="3"/>
      <c r="H9" s="15"/>
      <c r="I9">
        <v>4</v>
      </c>
      <c r="J9" s="13">
        <v>4.28</v>
      </c>
      <c r="K9" s="2">
        <v>0.22569444444444445</v>
      </c>
      <c r="L9" s="14">
        <v>0.21458333333333335</v>
      </c>
      <c r="M9" s="26">
        <v>1.5266203703703705E-2</v>
      </c>
      <c r="N9" s="44">
        <v>2.76</v>
      </c>
      <c r="O9" s="26">
        <v>1.3194444444444444E-2</v>
      </c>
      <c r="P9" s="30" t="s">
        <v>28</v>
      </c>
      <c r="Q9" s="41">
        <v>6</v>
      </c>
      <c r="R9" s="2">
        <v>0.16527777777777777</v>
      </c>
      <c r="S9" s="14">
        <v>0.16458333333333333</v>
      </c>
      <c r="T9" s="15">
        <v>1.6458333333333332E-2</v>
      </c>
      <c r="W9" s="4"/>
      <c r="X9" s="13">
        <f t="shared" si="0"/>
        <v>13.040000000000001</v>
      </c>
      <c r="Y9" s="46">
        <f>10+2.76</f>
        <v>12.76</v>
      </c>
      <c r="Z9" s="27">
        <f t="shared" si="1"/>
        <v>0.28000000000000114</v>
      </c>
      <c r="AA9" s="14">
        <f t="shared" si="2"/>
        <v>3.1724537037037037E-2</v>
      </c>
      <c r="AB9" s="32"/>
      <c r="AC9"/>
      <c r="AD9" s="3"/>
      <c r="AL9"/>
      <c r="AQ9" s="37"/>
    </row>
    <row r="10" spans="1:43" x14ac:dyDescent="0.25">
      <c r="A10" s="56"/>
      <c r="B10" s="17" t="s">
        <v>18</v>
      </c>
      <c r="C10" s="85">
        <v>41111</v>
      </c>
      <c r="D10" s="19">
        <v>26</v>
      </c>
      <c r="E10" s="20">
        <v>25.69</v>
      </c>
      <c r="F10" s="21">
        <v>0.22569444444444445</v>
      </c>
      <c r="G10" s="22">
        <v>0.20486111111111113</v>
      </c>
      <c r="H10" s="23">
        <v>8.7662037037037024E-2</v>
      </c>
      <c r="I10" s="18"/>
      <c r="J10" s="20"/>
      <c r="K10" s="18"/>
      <c r="L10" s="20"/>
      <c r="M10" s="18"/>
      <c r="N10" s="45"/>
      <c r="O10" s="84"/>
      <c r="P10" s="31"/>
      <c r="Q10" s="42"/>
      <c r="R10" s="18"/>
      <c r="S10" s="20"/>
      <c r="T10" s="24"/>
      <c r="U10" s="18"/>
      <c r="V10" s="20"/>
      <c r="W10" s="24"/>
      <c r="X10" s="20">
        <f t="shared" si="0"/>
        <v>25.69</v>
      </c>
      <c r="Y10" s="18">
        <v>26</v>
      </c>
      <c r="Z10" s="34">
        <f t="shared" si="1"/>
        <v>-0.30999999999999872</v>
      </c>
      <c r="AA10" s="22">
        <f t="shared" si="2"/>
        <v>8.7662037037037024E-2</v>
      </c>
      <c r="AB10" s="33">
        <f>SUM(X8:X10)</f>
        <v>56.870000000000005</v>
      </c>
      <c r="AC10" s="21">
        <f>SUM(AA8:AA10)</f>
        <v>0.18</v>
      </c>
      <c r="AD10" s="19"/>
      <c r="AE10" s="36"/>
      <c r="AF10" s="18"/>
      <c r="AG10" s="36"/>
      <c r="AH10" s="18"/>
      <c r="AI10" s="36"/>
      <c r="AJ10" s="18"/>
      <c r="AK10" s="36"/>
      <c r="AL10" s="18"/>
      <c r="AM10" s="36"/>
      <c r="AN10" s="18"/>
      <c r="AO10" s="36"/>
      <c r="AP10" s="18"/>
      <c r="AQ10" s="38"/>
    </row>
    <row r="11" spans="1:43" x14ac:dyDescent="0.25">
      <c r="A11" s="10"/>
      <c r="B11" s="49" t="s">
        <v>0</v>
      </c>
      <c r="C11" s="81">
        <v>41113</v>
      </c>
      <c r="D11" s="3">
        <v>14</v>
      </c>
      <c r="E11" s="50">
        <v>13.74</v>
      </c>
      <c r="F11" s="2">
        <v>0.22569444444444445</v>
      </c>
      <c r="G11" s="52">
        <v>0.20138888888888887</v>
      </c>
      <c r="H11" s="15">
        <v>4.6041666666666668E-2</v>
      </c>
      <c r="I11" s="11"/>
      <c r="J11" s="50"/>
      <c r="K11" s="11"/>
      <c r="L11" s="50"/>
      <c r="M11" s="11"/>
      <c r="N11" s="44"/>
      <c r="O11" s="26"/>
      <c r="P11" s="53"/>
      <c r="Q11" s="54"/>
      <c r="R11" s="11"/>
      <c r="S11" s="50"/>
      <c r="T11" s="4"/>
      <c r="U11" s="11"/>
      <c r="V11" s="50"/>
      <c r="W11" s="4"/>
      <c r="X11" s="13">
        <f t="shared" si="0"/>
        <v>13.74</v>
      </c>
      <c r="Y11">
        <v>14</v>
      </c>
      <c r="Z11" s="27">
        <f t="shared" si="1"/>
        <v>-0.25999999999999979</v>
      </c>
      <c r="AA11" s="14">
        <f t="shared" si="2"/>
        <v>4.6041666666666668E-2</v>
      </c>
      <c r="AB11" s="32"/>
      <c r="AC11" s="51"/>
      <c r="AD11" s="3"/>
      <c r="AE11" s="9">
        <f>$AD$2-AD11</f>
        <v>82.7</v>
      </c>
      <c r="AG11" s="9">
        <f>$AF$2-AF11</f>
        <v>41</v>
      </c>
      <c r="AI11" s="9">
        <f>$AH$2-AH11</f>
        <v>59</v>
      </c>
      <c r="AK11" s="9">
        <f>$AJ$2-AJ11</f>
        <v>97</v>
      </c>
      <c r="AL11"/>
      <c r="AM11" s="9">
        <f>$AL$2-AL11</f>
        <v>100</v>
      </c>
      <c r="AO11" s="9">
        <f>$AN$2-AN11</f>
        <v>30</v>
      </c>
      <c r="AQ11" s="37">
        <f>$AP$2-AP11</f>
        <v>43</v>
      </c>
    </row>
    <row r="12" spans="1:43" x14ac:dyDescent="0.25">
      <c r="A12" s="10">
        <v>8</v>
      </c>
      <c r="B12" s="49"/>
      <c r="C12" s="27"/>
      <c r="D12" s="3"/>
      <c r="E12" s="50"/>
      <c r="F12" s="51"/>
      <c r="G12" s="52"/>
      <c r="H12" s="15"/>
      <c r="I12" s="11">
        <v>3</v>
      </c>
      <c r="J12" s="50">
        <v>0</v>
      </c>
      <c r="K12" s="2">
        <v>0.22569444444444445</v>
      </c>
      <c r="L12" s="52"/>
      <c r="M12" s="26"/>
      <c r="N12" s="44"/>
      <c r="O12" s="26"/>
      <c r="P12" s="53"/>
      <c r="Q12" s="54"/>
      <c r="R12" s="11"/>
      <c r="S12" s="50"/>
      <c r="T12" s="4"/>
      <c r="U12" s="11">
        <v>5</v>
      </c>
      <c r="V12" s="52"/>
      <c r="W12" s="15"/>
      <c r="X12" s="13">
        <v>0</v>
      </c>
      <c r="Y12" s="46">
        <f>U12+I12+D12</f>
        <v>8</v>
      </c>
      <c r="Z12" s="27">
        <f t="shared" si="1"/>
        <v>-8</v>
      </c>
      <c r="AA12" s="14">
        <f t="shared" si="2"/>
        <v>0</v>
      </c>
      <c r="AB12" s="32"/>
      <c r="AC12" s="51"/>
      <c r="AD12" s="3"/>
      <c r="AE12" s="55"/>
      <c r="AF12" s="11"/>
      <c r="AG12" s="55"/>
      <c r="AH12" s="11"/>
      <c r="AI12" s="55"/>
      <c r="AJ12" s="11"/>
      <c r="AK12" s="55"/>
      <c r="AL12" s="11"/>
      <c r="AM12" s="55"/>
      <c r="AN12" s="11"/>
      <c r="AO12" s="55"/>
      <c r="AP12" s="11"/>
      <c r="AQ12" s="37"/>
    </row>
    <row r="13" spans="1:43" x14ac:dyDescent="0.25">
      <c r="A13" s="56"/>
      <c r="B13" s="17" t="s">
        <v>18</v>
      </c>
      <c r="C13" s="85">
        <v>41118</v>
      </c>
      <c r="D13" s="19">
        <v>16</v>
      </c>
      <c r="E13" s="20">
        <v>16.010000000000002</v>
      </c>
      <c r="F13" s="21">
        <v>0.22569444444444445</v>
      </c>
      <c r="G13" s="22">
        <v>0.20069444444444443</v>
      </c>
      <c r="H13" s="23">
        <v>5.3611111111111109E-2</v>
      </c>
      <c r="I13" s="18"/>
      <c r="J13" s="20"/>
      <c r="K13" s="18"/>
      <c r="L13" s="20"/>
      <c r="M13" s="18"/>
      <c r="N13" s="45"/>
      <c r="O13" s="84"/>
      <c r="P13" s="31"/>
      <c r="Q13" s="42"/>
      <c r="R13" s="18"/>
      <c r="S13" s="20"/>
      <c r="T13" s="24"/>
      <c r="U13" s="18"/>
      <c r="V13" s="20"/>
      <c r="W13" s="24"/>
      <c r="X13" s="20">
        <f t="shared" si="0"/>
        <v>16.010000000000002</v>
      </c>
      <c r="Y13" s="57">
        <f>U13+I13+D13</f>
        <v>16</v>
      </c>
      <c r="Z13" s="34">
        <f t="shared" si="1"/>
        <v>1.0000000000001563E-2</v>
      </c>
      <c r="AA13" s="22">
        <f t="shared" si="2"/>
        <v>5.3611111111111109E-2</v>
      </c>
      <c r="AB13" s="33">
        <f>SUM(X11:X13)</f>
        <v>29.75</v>
      </c>
      <c r="AC13" s="21">
        <f>SUM(AA11:AA13)</f>
        <v>9.9652777777777785E-2</v>
      </c>
      <c r="AD13" s="19"/>
      <c r="AE13" s="36"/>
      <c r="AF13" s="18"/>
      <c r="AG13" s="36"/>
      <c r="AH13" s="18"/>
      <c r="AI13" s="36"/>
      <c r="AJ13" s="18"/>
      <c r="AK13" s="36"/>
      <c r="AL13" s="18"/>
      <c r="AM13" s="36"/>
      <c r="AN13" s="18"/>
      <c r="AO13" s="36"/>
      <c r="AP13" s="18"/>
      <c r="AQ13" s="38"/>
    </row>
    <row r="14" spans="1:43" x14ac:dyDescent="0.25">
      <c r="A14" s="10"/>
      <c r="B14" s="49" t="s">
        <v>24</v>
      </c>
      <c r="C14" s="81">
        <v>41121</v>
      </c>
      <c r="D14" s="3">
        <v>16</v>
      </c>
      <c r="E14" s="50">
        <v>16.21</v>
      </c>
      <c r="F14" s="51">
        <v>0.22569444444444445</v>
      </c>
      <c r="G14" s="52">
        <v>0.20694444444444446</v>
      </c>
      <c r="H14" s="15">
        <v>5.5925925925925928E-2</v>
      </c>
      <c r="I14" s="11"/>
      <c r="J14" s="50"/>
      <c r="K14" s="11"/>
      <c r="L14" s="50"/>
      <c r="M14" s="11"/>
      <c r="N14" s="44"/>
      <c r="O14" s="26"/>
      <c r="P14" s="53"/>
      <c r="Q14" s="54"/>
      <c r="R14" s="11"/>
      <c r="S14" s="50"/>
      <c r="T14" s="4"/>
      <c r="U14" s="11"/>
      <c r="V14" s="50"/>
      <c r="W14" s="4"/>
      <c r="X14" s="13">
        <f t="shared" si="0"/>
        <v>16.21</v>
      </c>
      <c r="Y14" s="46">
        <f>U14+I14+D14</f>
        <v>16</v>
      </c>
      <c r="Z14" s="27">
        <f t="shared" si="1"/>
        <v>0.21000000000000085</v>
      </c>
      <c r="AA14" s="14">
        <f t="shared" si="2"/>
        <v>5.5925925925925928E-2</v>
      </c>
      <c r="AB14" s="32"/>
      <c r="AC14" s="51"/>
      <c r="AD14" s="3"/>
      <c r="AE14" s="9">
        <f>$AD$2-AD14</f>
        <v>82.7</v>
      </c>
      <c r="AG14" s="9">
        <f>$AF$2-AF14</f>
        <v>41</v>
      </c>
      <c r="AI14" s="9">
        <f>$AH$2-AH14</f>
        <v>59</v>
      </c>
      <c r="AK14" s="9">
        <f>$AJ$2-AJ14</f>
        <v>97</v>
      </c>
      <c r="AL14"/>
      <c r="AM14" s="9">
        <f>$AL$2-AL14</f>
        <v>100</v>
      </c>
      <c r="AO14" s="9">
        <f>$AN$2-AN14</f>
        <v>30</v>
      </c>
      <c r="AQ14" s="37">
        <f>$AP$2-AP14</f>
        <v>43</v>
      </c>
    </row>
    <row r="15" spans="1:43" x14ac:dyDescent="0.25">
      <c r="A15" s="10">
        <v>9</v>
      </c>
      <c r="B15" s="49" t="s">
        <v>29</v>
      </c>
      <c r="C15" s="81">
        <v>41124</v>
      </c>
      <c r="D15" s="3"/>
      <c r="E15" s="50"/>
      <c r="F15" s="51"/>
      <c r="G15" s="52"/>
      <c r="H15" s="15"/>
      <c r="I15" s="11">
        <v>4</v>
      </c>
      <c r="J15" s="50">
        <v>3.33</v>
      </c>
      <c r="K15" s="2">
        <v>0.22569444444444445</v>
      </c>
      <c r="L15" s="52">
        <v>0.20486111111111113</v>
      </c>
      <c r="M15" s="26">
        <v>1.1388888888888888E-2</v>
      </c>
      <c r="N15" s="44">
        <v>1.1100000000000001</v>
      </c>
      <c r="O15" s="26">
        <v>5.208333333333333E-3</v>
      </c>
      <c r="P15" s="53" t="s">
        <v>31</v>
      </c>
      <c r="Q15" s="54">
        <v>7.5</v>
      </c>
      <c r="R15" s="51">
        <v>0.18055555555555555</v>
      </c>
      <c r="S15" s="52">
        <v>0.17847222222222223</v>
      </c>
      <c r="T15" s="15">
        <v>2.2314814814814815E-2</v>
      </c>
      <c r="U15" s="11"/>
      <c r="V15" s="50"/>
      <c r="W15" s="4"/>
      <c r="X15" s="13">
        <f t="shared" si="0"/>
        <v>11.94</v>
      </c>
      <c r="Y15" s="46">
        <f>11.5+1.11</f>
        <v>12.61</v>
      </c>
      <c r="Z15" s="27">
        <f t="shared" si="1"/>
        <v>-0.66999999999999993</v>
      </c>
      <c r="AA15" s="14">
        <f t="shared" si="2"/>
        <v>3.3703703703703701E-2</v>
      </c>
      <c r="AB15" s="32"/>
      <c r="AC15" s="51"/>
      <c r="AD15" s="3"/>
      <c r="AE15" s="55"/>
      <c r="AF15" s="11"/>
      <c r="AG15" s="55"/>
      <c r="AH15" s="11"/>
      <c r="AI15" s="55"/>
      <c r="AJ15" s="11"/>
      <c r="AK15" s="55"/>
      <c r="AL15" s="11"/>
      <c r="AM15" s="55"/>
      <c r="AN15" s="11"/>
      <c r="AO15" s="55"/>
      <c r="AP15" s="11"/>
      <c r="AQ15" s="37"/>
    </row>
    <row r="16" spans="1:43" x14ac:dyDescent="0.25">
      <c r="A16" s="56"/>
      <c r="B16" s="17" t="s">
        <v>27</v>
      </c>
      <c r="C16" s="85">
        <v>41126</v>
      </c>
      <c r="D16" s="19">
        <v>24</v>
      </c>
      <c r="E16" s="20">
        <v>24.19</v>
      </c>
      <c r="F16" s="21">
        <v>0.22569444444444445</v>
      </c>
      <c r="G16" s="22">
        <v>0.20694444444444446</v>
      </c>
      <c r="H16" s="23">
        <v>8.3449074074074078E-2</v>
      </c>
      <c r="I16" s="18"/>
      <c r="J16" s="20"/>
      <c r="K16" s="18"/>
      <c r="L16" s="20"/>
      <c r="M16" s="18"/>
      <c r="N16" s="45"/>
      <c r="O16" s="84"/>
      <c r="P16" s="31"/>
      <c r="Q16" s="42"/>
      <c r="R16" s="18"/>
      <c r="S16" s="20"/>
      <c r="T16" s="24"/>
      <c r="U16" s="18"/>
      <c r="V16" s="20"/>
      <c r="W16" s="24"/>
      <c r="X16" s="20">
        <f t="shared" si="0"/>
        <v>24.19</v>
      </c>
      <c r="Y16" s="57">
        <f>U16+I16+D16+Q16</f>
        <v>24</v>
      </c>
      <c r="Z16" s="34">
        <f t="shared" si="1"/>
        <v>0.19000000000000128</v>
      </c>
      <c r="AA16" s="58">
        <f t="shared" si="2"/>
        <v>8.3449074074074078E-2</v>
      </c>
      <c r="AB16" s="33">
        <f>SUM(X14:X16)</f>
        <v>52.34</v>
      </c>
      <c r="AC16" s="21">
        <f>SUM(AA14:AA16)</f>
        <v>0.17307870370370371</v>
      </c>
      <c r="AD16" s="19"/>
      <c r="AE16" s="36"/>
      <c r="AF16" s="18"/>
      <c r="AG16" s="36"/>
      <c r="AH16" s="18"/>
      <c r="AI16" s="36"/>
      <c r="AJ16" s="18"/>
      <c r="AK16" s="36"/>
      <c r="AL16" s="18"/>
      <c r="AM16" s="36"/>
      <c r="AN16" s="18"/>
      <c r="AO16" s="36"/>
      <c r="AP16" s="18"/>
      <c r="AQ16" s="38"/>
    </row>
    <row r="17" spans="1:43" x14ac:dyDescent="0.25">
      <c r="A17" s="10"/>
      <c r="B17" s="49" t="s">
        <v>24</v>
      </c>
      <c r="C17" s="81">
        <v>41128</v>
      </c>
      <c r="D17" s="3">
        <v>18</v>
      </c>
      <c r="E17" s="50">
        <v>13.43</v>
      </c>
      <c r="F17" s="51">
        <v>0.22569444444444445</v>
      </c>
      <c r="G17" s="52">
        <v>0.20277777777777781</v>
      </c>
      <c r="H17" s="15">
        <v>4.5324074074074072E-2</v>
      </c>
      <c r="I17" s="11"/>
      <c r="J17" s="50"/>
      <c r="K17" s="11"/>
      <c r="L17" s="50"/>
      <c r="M17" s="11"/>
      <c r="N17" s="44"/>
      <c r="O17" s="26"/>
      <c r="P17" s="53"/>
      <c r="Q17" s="54"/>
      <c r="R17" s="11"/>
      <c r="S17" s="50"/>
      <c r="T17" s="4"/>
      <c r="U17" s="11"/>
      <c r="V17" s="50"/>
      <c r="W17" s="4"/>
      <c r="X17" s="13">
        <f t="shared" si="0"/>
        <v>13.43</v>
      </c>
      <c r="Y17" s="46">
        <f>U17+I17+D17+Q17</f>
        <v>18</v>
      </c>
      <c r="Z17" s="27">
        <f t="shared" si="1"/>
        <v>-4.57</v>
      </c>
      <c r="AA17" s="14">
        <f t="shared" si="2"/>
        <v>4.5324074074074072E-2</v>
      </c>
      <c r="AB17" s="32"/>
      <c r="AC17" s="51"/>
      <c r="AD17" s="3">
        <v>80.400000000000006</v>
      </c>
      <c r="AE17" s="9">
        <f>$AD$2-AD17</f>
        <v>2.2999999999999972</v>
      </c>
      <c r="AG17" s="9">
        <f>$AF$2-AF17</f>
        <v>41</v>
      </c>
      <c r="AI17" s="9">
        <f>$AH$2-AH17</f>
        <v>59</v>
      </c>
      <c r="AK17" s="9">
        <f>$AJ$2-AJ17</f>
        <v>97</v>
      </c>
      <c r="AL17"/>
      <c r="AM17" s="9">
        <f>$AL$2-AL17</f>
        <v>100</v>
      </c>
      <c r="AO17" s="9">
        <f>$AN$2-AN17</f>
        <v>30</v>
      </c>
      <c r="AQ17" s="37">
        <f>$AP$2-AP17</f>
        <v>43</v>
      </c>
    </row>
    <row r="18" spans="1:43" x14ac:dyDescent="0.25">
      <c r="A18" s="10">
        <v>10</v>
      </c>
      <c r="B18" s="49" t="s">
        <v>29</v>
      </c>
      <c r="C18" s="81">
        <v>41131</v>
      </c>
      <c r="D18" s="3"/>
      <c r="E18" s="50"/>
      <c r="F18" s="51"/>
      <c r="G18" s="52"/>
      <c r="H18" s="15"/>
      <c r="I18" s="11">
        <v>4</v>
      </c>
      <c r="J18" s="50">
        <v>4</v>
      </c>
      <c r="K18" s="51">
        <v>0.22569444444444445</v>
      </c>
      <c r="L18" s="52">
        <v>0.20208333333333331</v>
      </c>
      <c r="M18" s="26">
        <v>1.3460648148148147E-2</v>
      </c>
      <c r="N18" s="44">
        <v>0.84</v>
      </c>
      <c r="O18" s="26">
        <v>4.1666666666666666E-3</v>
      </c>
      <c r="P18" s="53" t="s">
        <v>32</v>
      </c>
      <c r="Q18" s="54">
        <v>8</v>
      </c>
      <c r="R18" s="51">
        <v>0.18055555555555555</v>
      </c>
      <c r="S18" s="52">
        <v>0.17777777777777778</v>
      </c>
      <c r="T18" s="15">
        <v>2.3657407407407408E-2</v>
      </c>
      <c r="U18" s="11"/>
      <c r="V18" s="50"/>
      <c r="W18" s="4"/>
      <c r="X18" s="13">
        <f t="shared" si="0"/>
        <v>12.84</v>
      </c>
      <c r="Y18" s="46">
        <f>12+N18</f>
        <v>12.84</v>
      </c>
      <c r="Z18" s="27">
        <f t="shared" si="1"/>
        <v>0</v>
      </c>
      <c r="AA18" s="14">
        <f t="shared" si="2"/>
        <v>3.7118055555555557E-2</v>
      </c>
      <c r="AB18" s="32"/>
      <c r="AC18" s="51"/>
      <c r="AD18" s="3"/>
      <c r="AE18" s="55"/>
      <c r="AF18" s="11"/>
      <c r="AG18" s="55"/>
      <c r="AH18" s="11"/>
      <c r="AI18" s="55"/>
      <c r="AJ18" s="11"/>
      <c r="AK18" s="55"/>
      <c r="AL18" s="11"/>
      <c r="AM18" s="55"/>
      <c r="AN18" s="11"/>
      <c r="AO18" s="55"/>
      <c r="AP18" s="11"/>
      <c r="AQ18" s="37"/>
    </row>
    <row r="19" spans="1:43" x14ac:dyDescent="0.25">
      <c r="A19" s="56"/>
      <c r="B19" s="17" t="s">
        <v>27</v>
      </c>
      <c r="C19" s="85">
        <v>41133</v>
      </c>
      <c r="D19" s="19">
        <v>26</v>
      </c>
      <c r="E19" s="20">
        <v>26.01</v>
      </c>
      <c r="F19" s="21">
        <v>0.22569444444444445</v>
      </c>
      <c r="G19" s="22">
        <v>0.20625000000000002</v>
      </c>
      <c r="H19" s="23">
        <v>8.9386574074074077E-2</v>
      </c>
      <c r="I19" s="18"/>
      <c r="J19" s="20"/>
      <c r="K19" s="18"/>
      <c r="L19" s="20"/>
      <c r="M19" s="18"/>
      <c r="N19" s="45"/>
      <c r="O19" s="84"/>
      <c r="P19" s="31"/>
      <c r="Q19" s="42"/>
      <c r="R19" s="18"/>
      <c r="S19" s="20"/>
      <c r="T19" s="24"/>
      <c r="U19" s="18"/>
      <c r="V19" s="20"/>
      <c r="W19" s="24"/>
      <c r="X19" s="20">
        <f t="shared" si="0"/>
        <v>26.01</v>
      </c>
      <c r="Y19" s="57">
        <f t="shared" ref="Y19:Y29" si="3">U19+I19+D19+Q19</f>
        <v>26</v>
      </c>
      <c r="Z19" s="34">
        <f t="shared" si="1"/>
        <v>1.0000000000001563E-2</v>
      </c>
      <c r="AA19" s="22">
        <f t="shared" si="2"/>
        <v>8.9386574074074077E-2</v>
      </c>
      <c r="AB19" s="33">
        <f>SUM(X17:X19)</f>
        <v>52.28</v>
      </c>
      <c r="AC19" s="21">
        <f>SUM(AA17:AA19)</f>
        <v>0.17182870370370371</v>
      </c>
      <c r="AD19" s="19"/>
      <c r="AE19" s="36"/>
      <c r="AF19" s="18"/>
      <c r="AG19" s="36"/>
      <c r="AH19" s="18"/>
      <c r="AI19" s="36"/>
      <c r="AJ19" s="18"/>
      <c r="AK19" s="36"/>
      <c r="AL19" s="18"/>
      <c r="AM19" s="36"/>
      <c r="AN19" s="18"/>
      <c r="AO19" s="36"/>
      <c r="AP19" s="18"/>
      <c r="AQ19" s="38"/>
    </row>
    <row r="20" spans="1:43" x14ac:dyDescent="0.25">
      <c r="A20" s="10"/>
      <c r="B20" s="49" t="s">
        <v>15</v>
      </c>
      <c r="C20" s="81">
        <v>41136</v>
      </c>
      <c r="D20" s="3">
        <v>18</v>
      </c>
      <c r="E20" s="50">
        <v>17.329999999999998</v>
      </c>
      <c r="F20" s="51">
        <v>0.22569444444444445</v>
      </c>
      <c r="G20" s="52">
        <v>0.20208333333333331</v>
      </c>
      <c r="H20" s="15">
        <v>5.8391203703703702E-2</v>
      </c>
      <c r="I20" s="11"/>
      <c r="J20" s="50"/>
      <c r="K20" s="11"/>
      <c r="L20" s="50"/>
      <c r="M20" s="11"/>
      <c r="N20" s="44"/>
      <c r="O20" s="26"/>
      <c r="P20" s="53"/>
      <c r="Q20" s="54"/>
      <c r="R20" s="11"/>
      <c r="S20" s="50"/>
      <c r="T20" s="4"/>
      <c r="U20" s="11"/>
      <c r="V20" s="50"/>
      <c r="W20" s="4"/>
      <c r="X20" s="13">
        <f t="shared" si="0"/>
        <v>17.329999999999998</v>
      </c>
      <c r="Y20" s="46">
        <f t="shared" si="3"/>
        <v>18</v>
      </c>
      <c r="Z20" s="27">
        <f t="shared" si="1"/>
        <v>-0.67000000000000171</v>
      </c>
      <c r="AA20" s="14">
        <f t="shared" si="2"/>
        <v>5.8391203703703702E-2</v>
      </c>
      <c r="AB20" s="32"/>
      <c r="AC20" s="51"/>
      <c r="AD20" s="3"/>
      <c r="AE20" s="9">
        <f>$AD$2-AD20</f>
        <v>82.7</v>
      </c>
      <c r="AG20" s="9">
        <f>$AF$2-AF20</f>
        <v>41</v>
      </c>
      <c r="AI20" s="9">
        <f>$AH$2-AH20</f>
        <v>59</v>
      </c>
      <c r="AK20" s="9">
        <f>$AJ$2-AJ20</f>
        <v>97</v>
      </c>
      <c r="AL20"/>
      <c r="AM20" s="9">
        <f>$AL$2-AL20</f>
        <v>100</v>
      </c>
      <c r="AO20" s="9">
        <f>$AN$2-AN20</f>
        <v>30</v>
      </c>
      <c r="AQ20" s="37">
        <f>$AP$2-AP20</f>
        <v>43</v>
      </c>
    </row>
    <row r="21" spans="1:43" x14ac:dyDescent="0.25">
      <c r="A21" s="10">
        <v>11</v>
      </c>
      <c r="B21" s="49" t="s">
        <v>29</v>
      </c>
      <c r="C21" s="81">
        <v>41138</v>
      </c>
      <c r="D21" s="3"/>
      <c r="E21" s="50"/>
      <c r="F21" s="51"/>
      <c r="G21" s="52"/>
      <c r="H21" s="15"/>
      <c r="I21" s="11">
        <v>4</v>
      </c>
      <c r="J21" s="50">
        <v>2.75</v>
      </c>
      <c r="K21" s="51">
        <v>0.22569444444444445</v>
      </c>
      <c r="L21" s="52">
        <v>0.21805555555555556</v>
      </c>
      <c r="M21" s="26">
        <v>1.005787037037037E-2</v>
      </c>
      <c r="N21" s="44"/>
      <c r="O21" s="26"/>
      <c r="P21" s="53"/>
      <c r="Q21" s="54"/>
      <c r="R21" s="11"/>
      <c r="S21" s="50"/>
      <c r="T21" s="4"/>
      <c r="U21" s="11">
        <v>8</v>
      </c>
      <c r="V21" s="52">
        <v>0.18124999999999999</v>
      </c>
      <c r="W21" s="26">
        <v>2.4166666666666666E-2</v>
      </c>
      <c r="X21" s="61">
        <f t="shared" si="0"/>
        <v>10.75</v>
      </c>
      <c r="Y21" s="46">
        <f t="shared" si="3"/>
        <v>12</v>
      </c>
      <c r="Z21" s="27">
        <f t="shared" si="1"/>
        <v>-1.25</v>
      </c>
      <c r="AA21" s="14">
        <f t="shared" si="2"/>
        <v>3.4224537037037039E-2</v>
      </c>
      <c r="AB21" s="32"/>
      <c r="AC21" s="51"/>
      <c r="AD21" s="3"/>
      <c r="AE21" s="55"/>
      <c r="AF21" s="11"/>
      <c r="AG21" s="55"/>
      <c r="AH21" s="11"/>
      <c r="AI21" s="55"/>
      <c r="AJ21" s="11"/>
      <c r="AK21" s="55"/>
      <c r="AL21" s="11"/>
      <c r="AM21" s="55"/>
      <c r="AN21" s="11"/>
      <c r="AO21" s="55"/>
      <c r="AP21" s="11"/>
      <c r="AQ21" s="37"/>
    </row>
    <row r="22" spans="1:43" x14ac:dyDescent="0.25">
      <c r="A22" s="56"/>
      <c r="B22" s="17" t="s">
        <v>27</v>
      </c>
      <c r="C22" s="85">
        <v>41140</v>
      </c>
      <c r="D22" s="19">
        <v>30</v>
      </c>
      <c r="E22" s="20">
        <v>30.11</v>
      </c>
      <c r="F22" s="21">
        <v>0.22569444444444445</v>
      </c>
      <c r="G22" s="22">
        <v>0.21041666666666667</v>
      </c>
      <c r="H22" s="23">
        <v>0.10552083333333333</v>
      </c>
      <c r="I22" s="18"/>
      <c r="J22" s="20"/>
      <c r="K22" s="18"/>
      <c r="L22" s="20"/>
      <c r="M22" s="18"/>
      <c r="N22" s="45"/>
      <c r="O22" s="84"/>
      <c r="P22" s="31"/>
      <c r="Q22" s="42"/>
      <c r="R22" s="18"/>
      <c r="S22" s="20"/>
      <c r="T22" s="24"/>
      <c r="U22" s="18"/>
      <c r="V22" s="20"/>
      <c r="W22" s="24"/>
      <c r="X22" s="20">
        <f t="shared" si="0"/>
        <v>30.11</v>
      </c>
      <c r="Y22" s="57">
        <f t="shared" si="3"/>
        <v>30</v>
      </c>
      <c r="Z22" s="34">
        <f t="shared" si="1"/>
        <v>0.10999999999999943</v>
      </c>
      <c r="AA22" s="22">
        <f t="shared" si="2"/>
        <v>0.10552083333333333</v>
      </c>
      <c r="AB22" s="33">
        <f>SUM(X20:X22)</f>
        <v>58.19</v>
      </c>
      <c r="AC22" s="21">
        <f>SUM(AA20:AA22)</f>
        <v>0.19813657407407409</v>
      </c>
      <c r="AD22" s="19"/>
      <c r="AE22" s="36"/>
      <c r="AF22" s="18"/>
      <c r="AG22" s="36"/>
      <c r="AH22" s="18"/>
      <c r="AI22" s="36"/>
      <c r="AJ22" s="18"/>
      <c r="AK22" s="36"/>
      <c r="AL22" s="18"/>
      <c r="AM22" s="36"/>
      <c r="AN22" s="18"/>
      <c r="AO22" s="36"/>
      <c r="AP22" s="18"/>
      <c r="AQ22" s="38"/>
    </row>
    <row r="23" spans="1:43" x14ac:dyDescent="0.25">
      <c r="A23" s="10"/>
      <c r="B23" s="49" t="s">
        <v>24</v>
      </c>
      <c r="C23" s="81">
        <v>41142</v>
      </c>
      <c r="D23" s="3">
        <v>16</v>
      </c>
      <c r="E23" s="50">
        <v>20.239999999999998</v>
      </c>
      <c r="F23" s="51">
        <v>0.22569444444444445</v>
      </c>
      <c r="G23" s="52">
        <v>0.19375000000000001</v>
      </c>
      <c r="H23" s="15">
        <v>6.5439814814814812E-2</v>
      </c>
      <c r="I23" s="11"/>
      <c r="J23" s="50"/>
      <c r="K23" s="11"/>
      <c r="L23" s="50"/>
      <c r="M23" s="11"/>
      <c r="N23" s="44"/>
      <c r="O23" s="26"/>
      <c r="P23" s="53"/>
      <c r="Q23" s="54"/>
      <c r="R23" s="11"/>
      <c r="S23" s="50"/>
      <c r="T23" s="4"/>
      <c r="U23" s="11"/>
      <c r="V23" s="50"/>
      <c r="W23" s="4"/>
      <c r="X23" s="13">
        <f t="shared" si="0"/>
        <v>20.239999999999998</v>
      </c>
      <c r="Y23" s="46">
        <f t="shared" si="3"/>
        <v>16</v>
      </c>
      <c r="Z23" s="27">
        <f t="shared" si="1"/>
        <v>4.2399999999999984</v>
      </c>
      <c r="AA23" s="14">
        <f t="shared" si="2"/>
        <v>6.5439814814814812E-2</v>
      </c>
      <c r="AB23" s="32"/>
      <c r="AC23" s="51"/>
      <c r="AD23" s="3"/>
      <c r="AE23" s="9">
        <f>$AD$2-AD23</f>
        <v>82.7</v>
      </c>
      <c r="AG23" s="9">
        <f>$AF$2-AF23</f>
        <v>41</v>
      </c>
      <c r="AI23" s="9">
        <f>$AH$2-AH23</f>
        <v>59</v>
      </c>
      <c r="AK23" s="9">
        <f>$AJ$2-AJ23</f>
        <v>97</v>
      </c>
      <c r="AL23"/>
      <c r="AM23" s="9">
        <f>$AL$2-AL23</f>
        <v>100</v>
      </c>
      <c r="AO23" s="9">
        <f>$AN$2-AN23</f>
        <v>30</v>
      </c>
      <c r="AQ23" s="37">
        <f>$AP$2-AP23</f>
        <v>43</v>
      </c>
    </row>
    <row r="24" spans="1:43" x14ac:dyDescent="0.25">
      <c r="A24" s="10">
        <v>12</v>
      </c>
      <c r="B24" s="49"/>
      <c r="C24" s="27"/>
      <c r="D24" s="3"/>
      <c r="E24" s="50"/>
      <c r="F24" s="51"/>
      <c r="G24" s="52"/>
      <c r="H24" s="15"/>
      <c r="I24" s="11">
        <v>3</v>
      </c>
      <c r="J24" s="52"/>
      <c r="K24" s="51">
        <v>0.22569444444444445</v>
      </c>
      <c r="L24" s="52"/>
      <c r="M24" s="26"/>
      <c r="N24" s="44"/>
      <c r="O24" s="26"/>
      <c r="P24" s="53"/>
      <c r="Q24" s="54"/>
      <c r="R24" s="11"/>
      <c r="S24" s="50"/>
      <c r="T24" s="4"/>
      <c r="U24" s="11">
        <v>10</v>
      </c>
      <c r="V24" s="52"/>
      <c r="W24" s="15"/>
      <c r="X24" s="13">
        <v>0</v>
      </c>
      <c r="Y24" s="46">
        <f t="shared" si="3"/>
        <v>13</v>
      </c>
      <c r="Z24" s="27">
        <f t="shared" si="1"/>
        <v>-13</v>
      </c>
      <c r="AA24" s="14">
        <f t="shared" si="2"/>
        <v>0</v>
      </c>
      <c r="AB24" s="32"/>
      <c r="AC24" s="51"/>
      <c r="AD24" s="3"/>
      <c r="AE24" s="55"/>
      <c r="AF24" s="11"/>
      <c r="AG24" s="55"/>
      <c r="AH24" s="11"/>
      <c r="AI24" s="55"/>
      <c r="AJ24" s="11"/>
      <c r="AK24" s="55"/>
      <c r="AL24" s="11"/>
      <c r="AM24" s="55"/>
      <c r="AN24" s="11"/>
      <c r="AO24" s="55"/>
      <c r="AP24" s="11"/>
      <c r="AQ24" s="37"/>
    </row>
    <row r="25" spans="1:43" x14ac:dyDescent="0.25">
      <c r="A25" s="56"/>
      <c r="B25" s="17" t="s">
        <v>18</v>
      </c>
      <c r="C25" s="85">
        <v>41146</v>
      </c>
      <c r="D25" s="19">
        <v>16</v>
      </c>
      <c r="E25" s="20">
        <v>21.01</v>
      </c>
      <c r="F25" s="21">
        <v>0.22569444444444445</v>
      </c>
      <c r="G25" s="22">
        <v>0.19166666666666665</v>
      </c>
      <c r="H25" s="23">
        <v>6.7013888888888887E-2</v>
      </c>
      <c r="I25" s="18"/>
      <c r="J25" s="20"/>
      <c r="K25" s="18"/>
      <c r="L25" s="20"/>
      <c r="M25" s="18"/>
      <c r="N25" s="45"/>
      <c r="O25" s="84"/>
      <c r="P25" s="31"/>
      <c r="Q25" s="42"/>
      <c r="R25" s="18"/>
      <c r="S25" s="20"/>
      <c r="T25" s="24"/>
      <c r="U25" s="18"/>
      <c r="V25" s="20"/>
      <c r="W25" s="24"/>
      <c r="X25" s="20">
        <f t="shared" si="0"/>
        <v>21.01</v>
      </c>
      <c r="Y25" s="57">
        <f t="shared" si="3"/>
        <v>16</v>
      </c>
      <c r="Z25" s="34">
        <f t="shared" si="1"/>
        <v>5.0100000000000016</v>
      </c>
      <c r="AA25" s="22">
        <f t="shared" si="2"/>
        <v>6.7013888888888887E-2</v>
      </c>
      <c r="AB25" s="33">
        <f>SUM(X23:X25)</f>
        <v>41.25</v>
      </c>
      <c r="AC25" s="21">
        <f>SUM(AA23:AA25)</f>
        <v>0.13245370370370368</v>
      </c>
      <c r="AD25" s="19"/>
      <c r="AE25" s="36"/>
      <c r="AF25" s="18"/>
      <c r="AG25" s="36"/>
      <c r="AH25" s="18"/>
      <c r="AI25" s="36"/>
      <c r="AJ25" s="18"/>
      <c r="AK25" s="36"/>
      <c r="AL25" s="18"/>
      <c r="AM25" s="36"/>
      <c r="AN25" s="18"/>
      <c r="AO25" s="36"/>
      <c r="AP25" s="18"/>
      <c r="AQ25" s="38"/>
    </row>
    <row r="26" spans="1:43" x14ac:dyDescent="0.25">
      <c r="A26" s="10"/>
      <c r="B26" s="49" t="s">
        <v>24</v>
      </c>
      <c r="C26" s="81">
        <v>41149</v>
      </c>
      <c r="D26" s="3">
        <v>18</v>
      </c>
      <c r="E26" s="50">
        <v>18.239999999999998</v>
      </c>
      <c r="F26" s="2">
        <v>0.22569444444444445</v>
      </c>
      <c r="G26" s="52">
        <v>0.20347222222222219</v>
      </c>
      <c r="H26" s="15">
        <v>6.1863425925925926E-2</v>
      </c>
      <c r="I26" s="11"/>
      <c r="J26" s="50"/>
      <c r="K26" s="11"/>
      <c r="L26" s="50"/>
      <c r="M26" s="11"/>
      <c r="N26" s="44"/>
      <c r="O26" s="26"/>
      <c r="P26" s="53"/>
      <c r="Q26" s="54"/>
      <c r="R26" s="11"/>
      <c r="S26" s="50"/>
      <c r="T26" s="4"/>
      <c r="U26" s="11"/>
      <c r="V26" s="50"/>
      <c r="W26" s="4"/>
      <c r="X26" s="13">
        <f t="shared" si="0"/>
        <v>18.239999999999998</v>
      </c>
      <c r="Y26" s="46">
        <f t="shared" si="3"/>
        <v>18</v>
      </c>
      <c r="Z26" s="27">
        <f t="shared" si="1"/>
        <v>0.23999999999999844</v>
      </c>
      <c r="AA26" s="14">
        <f t="shared" si="2"/>
        <v>6.1863425925925926E-2</v>
      </c>
      <c r="AB26" s="32"/>
      <c r="AC26" s="51"/>
      <c r="AD26" s="3">
        <v>80.900000000000006</v>
      </c>
      <c r="AE26" s="9">
        <f>$AD$2-AD26</f>
        <v>1.7999999999999972</v>
      </c>
      <c r="AG26" s="9">
        <f>$AF$2-AF26</f>
        <v>41</v>
      </c>
      <c r="AI26" s="9">
        <f>$AH$2-AH26</f>
        <v>59</v>
      </c>
      <c r="AK26" s="9">
        <f>$AJ$2-AJ26</f>
        <v>97</v>
      </c>
      <c r="AL26"/>
      <c r="AM26" s="9">
        <f>$AL$2-AL26</f>
        <v>100</v>
      </c>
      <c r="AO26" s="9">
        <f>$AN$2-AN26</f>
        <v>30</v>
      </c>
      <c r="AQ26" s="37">
        <f>$AP$2-AP26</f>
        <v>43</v>
      </c>
    </row>
    <row r="27" spans="1:43" x14ac:dyDescent="0.25">
      <c r="A27" s="10">
        <v>13</v>
      </c>
      <c r="B27" s="49" t="s">
        <v>26</v>
      </c>
      <c r="C27" s="81">
        <v>41151</v>
      </c>
      <c r="D27" s="3"/>
      <c r="E27" s="50">
        <v>15.04</v>
      </c>
      <c r="F27" s="51"/>
      <c r="G27" s="52">
        <v>0.19722222222222222</v>
      </c>
      <c r="H27" s="15">
        <v>4.943287037037037E-2</v>
      </c>
      <c r="I27" s="11">
        <v>4</v>
      </c>
      <c r="J27" s="50"/>
      <c r="K27" s="2">
        <v>0.22569444444444445</v>
      </c>
      <c r="L27" s="52"/>
      <c r="M27" s="26"/>
      <c r="N27" s="44"/>
      <c r="O27" s="26"/>
      <c r="P27" s="53" t="s">
        <v>33</v>
      </c>
      <c r="Q27" s="54"/>
      <c r="R27" s="51">
        <v>0.18472222222222223</v>
      </c>
      <c r="S27" s="52"/>
      <c r="T27" s="15"/>
      <c r="U27" s="11"/>
      <c r="V27" s="50"/>
      <c r="W27" s="4"/>
      <c r="X27" s="13">
        <f t="shared" si="0"/>
        <v>15.04</v>
      </c>
      <c r="Y27" s="46">
        <v>14</v>
      </c>
      <c r="Z27" s="27">
        <f t="shared" si="1"/>
        <v>1.0399999999999991</v>
      </c>
      <c r="AA27" s="14">
        <f t="shared" si="2"/>
        <v>4.943287037037037E-2</v>
      </c>
      <c r="AB27" s="32"/>
      <c r="AC27" s="51"/>
      <c r="AD27" s="3"/>
      <c r="AE27" s="55"/>
      <c r="AF27" s="11"/>
      <c r="AG27" s="55"/>
      <c r="AH27" s="11"/>
      <c r="AI27" s="55"/>
      <c r="AJ27" s="11"/>
      <c r="AK27" s="55"/>
      <c r="AL27" s="11"/>
      <c r="AM27" s="55"/>
      <c r="AN27" s="11"/>
      <c r="AO27" s="55"/>
      <c r="AP27" s="11"/>
      <c r="AQ27" s="37"/>
    </row>
    <row r="28" spans="1:43" x14ac:dyDescent="0.25">
      <c r="A28" s="56"/>
      <c r="B28" s="17" t="s">
        <v>27</v>
      </c>
      <c r="C28" s="85">
        <v>41154</v>
      </c>
      <c r="D28" s="19">
        <v>20</v>
      </c>
      <c r="E28" s="20">
        <v>20.51</v>
      </c>
      <c r="F28" s="21">
        <v>0.22569444444444445</v>
      </c>
      <c r="G28" s="22">
        <v>0.20347222222222219</v>
      </c>
      <c r="H28" s="23">
        <v>6.9629629629629639E-2</v>
      </c>
      <c r="I28" s="18"/>
      <c r="J28" s="20"/>
      <c r="K28" s="18"/>
      <c r="L28" s="20"/>
      <c r="M28" s="18"/>
      <c r="N28" s="45"/>
      <c r="O28" s="84"/>
      <c r="P28" s="31" t="s">
        <v>34</v>
      </c>
      <c r="Q28" s="42">
        <v>8</v>
      </c>
      <c r="R28" s="21">
        <v>0.19305555555555554</v>
      </c>
      <c r="S28" s="22">
        <v>0.18958333333333333</v>
      </c>
      <c r="T28" s="23"/>
      <c r="U28" s="18"/>
      <c r="V28" s="20"/>
      <c r="W28" s="23">
        <v>2.5266203703703704E-2</v>
      </c>
      <c r="X28" s="20">
        <f t="shared" si="0"/>
        <v>28.51</v>
      </c>
      <c r="Y28" s="57">
        <f>U28+I28+D28+8</f>
        <v>28</v>
      </c>
      <c r="Z28" s="34">
        <f t="shared" si="1"/>
        <v>0.51000000000000156</v>
      </c>
      <c r="AA28" s="22">
        <f t="shared" si="2"/>
        <v>9.4895833333333346E-2</v>
      </c>
      <c r="AB28" s="33">
        <f>SUM(X26:X28)</f>
        <v>61.790000000000006</v>
      </c>
      <c r="AC28" s="21">
        <f>SUM(AA26:AA28)</f>
        <v>0.20619212962962963</v>
      </c>
      <c r="AD28" s="19"/>
      <c r="AE28" s="36"/>
      <c r="AF28" s="18"/>
      <c r="AG28" s="36"/>
      <c r="AH28" s="18"/>
      <c r="AI28" s="36"/>
      <c r="AJ28" s="18"/>
      <c r="AK28" s="36"/>
      <c r="AL28" s="18"/>
      <c r="AM28" s="36"/>
      <c r="AN28" s="18"/>
      <c r="AO28" s="36"/>
      <c r="AP28" s="18"/>
      <c r="AQ28" s="38"/>
    </row>
    <row r="29" spans="1:43" x14ac:dyDescent="0.25">
      <c r="A29" s="10"/>
      <c r="B29" s="49" t="s">
        <v>24</v>
      </c>
      <c r="C29" s="81">
        <v>41156</v>
      </c>
      <c r="D29" s="3">
        <v>14</v>
      </c>
      <c r="E29" s="50">
        <v>13.7</v>
      </c>
      <c r="F29" s="2">
        <v>0.22569444444444445</v>
      </c>
      <c r="G29" s="52">
        <v>0.19513888888888889</v>
      </c>
      <c r="H29" s="15">
        <v>4.4525462962962968E-2</v>
      </c>
      <c r="I29" s="11"/>
      <c r="J29" s="50"/>
      <c r="K29" s="11"/>
      <c r="L29" s="50"/>
      <c r="M29" s="11"/>
      <c r="N29" s="44"/>
      <c r="O29" s="26"/>
      <c r="P29" s="53"/>
      <c r="Q29" s="54"/>
      <c r="R29" s="11"/>
      <c r="S29" s="50"/>
      <c r="T29" s="4"/>
      <c r="U29" s="11"/>
      <c r="V29" s="50"/>
      <c r="W29" s="4"/>
      <c r="X29" s="13">
        <f t="shared" si="0"/>
        <v>13.7</v>
      </c>
      <c r="Y29" s="46">
        <f t="shared" si="3"/>
        <v>14</v>
      </c>
      <c r="Z29" s="27">
        <f t="shared" si="1"/>
        <v>-0.30000000000000071</v>
      </c>
      <c r="AA29" s="14">
        <f t="shared" si="2"/>
        <v>4.4525462962962968E-2</v>
      </c>
      <c r="AB29" s="32"/>
      <c r="AC29" s="51"/>
      <c r="AD29" s="3">
        <v>81.099999999999994</v>
      </c>
      <c r="AE29" s="9">
        <f>$AD$2-AD29</f>
        <v>1.6000000000000085</v>
      </c>
      <c r="AG29" s="9">
        <f>$AF$2-AF29</f>
        <v>41</v>
      </c>
      <c r="AI29" s="9">
        <f>$AH$2-AH29</f>
        <v>59</v>
      </c>
      <c r="AK29" s="9">
        <f>$AJ$2-AJ29</f>
        <v>97</v>
      </c>
      <c r="AL29"/>
      <c r="AM29" s="9">
        <f>$AL$2-AL29</f>
        <v>100</v>
      </c>
      <c r="AO29" s="9">
        <f>$AN$2-AN29</f>
        <v>30</v>
      </c>
      <c r="AQ29" s="37">
        <f>$AP$2-AP29</f>
        <v>43</v>
      </c>
    </row>
    <row r="30" spans="1:43" x14ac:dyDescent="0.25">
      <c r="A30" s="10">
        <v>14</v>
      </c>
      <c r="B30" s="49" t="s">
        <v>26</v>
      </c>
      <c r="C30" s="81">
        <v>41158</v>
      </c>
      <c r="D30" s="3"/>
      <c r="E30" s="50"/>
      <c r="F30" s="51"/>
      <c r="G30" s="52"/>
      <c r="H30" s="15"/>
      <c r="I30" s="11">
        <v>4</v>
      </c>
      <c r="J30" s="50">
        <v>4.74</v>
      </c>
      <c r="K30" s="2">
        <v>0.22569444444444445</v>
      </c>
      <c r="L30" s="52">
        <v>0.20208333333333331</v>
      </c>
      <c r="M30" s="26"/>
      <c r="N30" s="44"/>
      <c r="O30" s="26"/>
      <c r="P30" s="53" t="s">
        <v>35</v>
      </c>
      <c r="Q30" s="54">
        <v>12</v>
      </c>
      <c r="R30" s="51">
        <v>0.19305555555555554</v>
      </c>
      <c r="S30" s="52">
        <v>0.19097222222222221</v>
      </c>
      <c r="T30" s="15"/>
      <c r="U30" s="11"/>
      <c r="V30" s="52"/>
      <c r="W30" s="4"/>
      <c r="X30" s="13">
        <f t="shared" si="0"/>
        <v>16.740000000000002</v>
      </c>
      <c r="Y30" s="46">
        <f>U30+I30+D30+12</f>
        <v>16</v>
      </c>
      <c r="Z30" s="27">
        <f t="shared" si="1"/>
        <v>0.74000000000000199</v>
      </c>
      <c r="AA30" s="14">
        <f t="shared" si="2"/>
        <v>0</v>
      </c>
      <c r="AB30" s="32"/>
      <c r="AC30" s="51"/>
      <c r="AD30" s="3"/>
      <c r="AE30" s="55"/>
      <c r="AF30" s="11"/>
      <c r="AG30" s="55"/>
      <c r="AH30" s="11"/>
      <c r="AI30" s="55"/>
      <c r="AJ30" s="11"/>
      <c r="AK30" s="55"/>
      <c r="AL30" s="11"/>
      <c r="AM30" s="55"/>
      <c r="AN30" s="11"/>
      <c r="AO30" s="55"/>
      <c r="AP30" s="11"/>
      <c r="AQ30" s="37"/>
    </row>
    <row r="31" spans="1:43" x14ac:dyDescent="0.25">
      <c r="A31" s="56"/>
      <c r="B31" s="17" t="s">
        <v>18</v>
      </c>
      <c r="C31" s="85">
        <v>41160</v>
      </c>
      <c r="D31" s="19">
        <v>12</v>
      </c>
      <c r="E31" s="20">
        <v>12.27</v>
      </c>
      <c r="F31" s="21">
        <v>0.22569444444444445</v>
      </c>
      <c r="G31" s="22">
        <v>0.20069444444444443</v>
      </c>
      <c r="H31" s="23">
        <v>4.0972222222222222E-2</v>
      </c>
      <c r="I31" s="18"/>
      <c r="J31" s="20"/>
      <c r="K31" s="18"/>
      <c r="L31" s="20"/>
      <c r="M31" s="18"/>
      <c r="N31" s="45"/>
      <c r="O31" s="84"/>
      <c r="P31" s="31" t="s">
        <v>34</v>
      </c>
      <c r="Q31" s="42">
        <v>8</v>
      </c>
      <c r="R31" s="21">
        <v>0.19305555555555554</v>
      </c>
      <c r="S31" s="22">
        <v>0.19236111111111112</v>
      </c>
      <c r="T31" s="24"/>
      <c r="U31" s="18"/>
      <c r="V31" s="20"/>
      <c r="W31" s="24"/>
      <c r="X31" s="28">
        <f t="shared" si="0"/>
        <v>20.27</v>
      </c>
      <c r="Y31" s="57">
        <f>U31+I31+D31+8</f>
        <v>20</v>
      </c>
      <c r="Z31" s="34">
        <f t="shared" si="1"/>
        <v>0.26999999999999957</v>
      </c>
      <c r="AA31" s="58">
        <f t="shared" si="2"/>
        <v>4.0972222222222222E-2</v>
      </c>
      <c r="AB31" s="33">
        <f>SUM(X29:X31)</f>
        <v>50.71</v>
      </c>
      <c r="AC31" s="21">
        <f>SUM(AA29:AA31)</f>
        <v>8.549768518518519E-2</v>
      </c>
      <c r="AD31" s="19"/>
      <c r="AE31" s="36"/>
      <c r="AF31" s="18"/>
      <c r="AG31" s="36"/>
      <c r="AH31" s="18"/>
      <c r="AI31" s="36"/>
      <c r="AJ31" s="18"/>
      <c r="AK31" s="36"/>
      <c r="AL31" s="18"/>
      <c r="AM31" s="36"/>
      <c r="AN31" s="18"/>
      <c r="AO31" s="36"/>
      <c r="AP31" s="18"/>
      <c r="AQ31" s="38"/>
    </row>
    <row r="32" spans="1:43" x14ac:dyDescent="0.25">
      <c r="A32" s="10"/>
      <c r="B32" s="49" t="s">
        <v>24</v>
      </c>
      <c r="C32" s="81">
        <v>41163</v>
      </c>
      <c r="D32" s="3">
        <v>10</v>
      </c>
      <c r="E32" s="50">
        <v>9.9499999999999993</v>
      </c>
      <c r="F32" s="2">
        <v>0.22569444444444445</v>
      </c>
      <c r="G32" s="52">
        <v>0.20625000000000002</v>
      </c>
      <c r="H32" s="15">
        <v>3.4108796296296297E-2</v>
      </c>
      <c r="I32" s="11"/>
      <c r="J32" s="50"/>
      <c r="K32" s="11"/>
      <c r="L32" s="50"/>
      <c r="M32" s="11"/>
      <c r="N32" s="44"/>
      <c r="O32" s="26"/>
      <c r="P32" s="53" t="s">
        <v>36</v>
      </c>
      <c r="Q32" s="54">
        <v>4</v>
      </c>
      <c r="R32" s="51">
        <v>0.19305555555555554</v>
      </c>
      <c r="S32" s="52">
        <v>0.18958333333333333</v>
      </c>
      <c r="T32" s="15"/>
      <c r="U32" s="11"/>
      <c r="V32" s="50"/>
      <c r="W32" s="11"/>
      <c r="X32" s="60">
        <f t="shared" si="0"/>
        <v>13.95</v>
      </c>
      <c r="Y32" s="46">
        <f>U32+I32+D32+4</f>
        <v>14</v>
      </c>
      <c r="Z32" s="27">
        <f t="shared" si="1"/>
        <v>-5.0000000000000711E-2</v>
      </c>
      <c r="AA32" s="62">
        <f t="shared" si="2"/>
        <v>3.4108796296296297E-2</v>
      </c>
      <c r="AB32" s="59"/>
      <c r="AC32" s="51"/>
      <c r="AD32" s="3">
        <v>81.5</v>
      </c>
      <c r="AE32" s="9">
        <f>$AD$2-AD32</f>
        <v>1.2000000000000028</v>
      </c>
      <c r="AG32" s="9">
        <f>$AF$2-AF32</f>
        <v>41</v>
      </c>
      <c r="AI32" s="9">
        <f>$AH$2-AH32</f>
        <v>59</v>
      </c>
      <c r="AK32" s="9">
        <f>$AJ$2-AJ32</f>
        <v>97</v>
      </c>
      <c r="AL32"/>
      <c r="AM32" s="9">
        <f>$AL$2-AL32</f>
        <v>100</v>
      </c>
      <c r="AO32" s="9">
        <f>$AN$2-AN32</f>
        <v>30</v>
      </c>
      <c r="AQ32" s="37">
        <f>$AP$2-AP32</f>
        <v>43</v>
      </c>
    </row>
    <row r="33" spans="1:43" x14ac:dyDescent="0.25">
      <c r="A33" s="10">
        <v>15</v>
      </c>
      <c r="B33" s="49" t="s">
        <v>26</v>
      </c>
      <c r="C33" s="81">
        <v>41165</v>
      </c>
      <c r="D33" s="3"/>
      <c r="E33" s="50"/>
      <c r="F33" s="51"/>
      <c r="G33" s="52"/>
      <c r="H33" s="15"/>
      <c r="I33" s="11">
        <v>4</v>
      </c>
      <c r="J33" s="50">
        <v>4.13</v>
      </c>
      <c r="K33" s="2">
        <v>0.22569444444444445</v>
      </c>
      <c r="L33" s="52">
        <v>0.19930555555555554</v>
      </c>
      <c r="M33" s="26"/>
      <c r="N33" s="44">
        <v>1.42</v>
      </c>
      <c r="O33" s="26"/>
      <c r="P33" s="53" t="s">
        <v>37</v>
      </c>
      <c r="Q33" s="54">
        <v>3</v>
      </c>
      <c r="R33" s="51">
        <v>0.16527777777777777</v>
      </c>
      <c r="S33" s="52">
        <v>0.15902777777777777</v>
      </c>
      <c r="T33" s="15">
        <v>7.951388888888888E-3</v>
      </c>
      <c r="U33" s="11"/>
      <c r="V33" s="50"/>
      <c r="W33" s="11"/>
      <c r="X33" s="61">
        <f t="shared" si="0"/>
        <v>8.5500000000000007</v>
      </c>
      <c r="Y33" s="46">
        <f>I33+Q33+N33</f>
        <v>8.42</v>
      </c>
      <c r="Z33" s="27">
        <f t="shared" si="1"/>
        <v>0.13000000000000078</v>
      </c>
      <c r="AA33" s="63">
        <f t="shared" si="2"/>
        <v>7.951388888888888E-3</v>
      </c>
      <c r="AB33" s="59"/>
      <c r="AC33" s="51"/>
      <c r="AD33" s="3"/>
      <c r="AE33" s="55"/>
      <c r="AF33" s="11"/>
      <c r="AG33" s="55"/>
      <c r="AH33" s="11"/>
      <c r="AI33" s="55"/>
      <c r="AJ33" s="11"/>
      <c r="AK33" s="55"/>
      <c r="AL33" s="11"/>
      <c r="AM33" s="55"/>
      <c r="AN33" s="11"/>
      <c r="AO33" s="55"/>
      <c r="AP33" s="11"/>
      <c r="AQ33" s="37"/>
    </row>
    <row r="34" spans="1:43" x14ac:dyDescent="0.25">
      <c r="A34" s="56"/>
      <c r="B34" s="17" t="s">
        <v>18</v>
      </c>
      <c r="C34" s="85">
        <v>41167</v>
      </c>
      <c r="D34" s="19">
        <v>16</v>
      </c>
      <c r="E34" s="20">
        <v>16.059999999999999</v>
      </c>
      <c r="F34" s="21">
        <v>0.22569444444444445</v>
      </c>
      <c r="G34" s="22">
        <v>0.20902777777777778</v>
      </c>
      <c r="H34" s="23">
        <v>5.5995370370370369E-2</v>
      </c>
      <c r="I34" s="18"/>
      <c r="J34" s="20"/>
      <c r="K34" s="18"/>
      <c r="L34" s="20"/>
      <c r="M34" s="18"/>
      <c r="N34" s="45"/>
      <c r="O34" s="84"/>
      <c r="P34" s="31"/>
      <c r="Q34" s="42"/>
      <c r="R34" s="18"/>
      <c r="S34" s="20"/>
      <c r="T34" s="24"/>
      <c r="U34" s="18"/>
      <c r="V34" s="20"/>
      <c r="W34" s="18"/>
      <c r="X34" s="28">
        <f t="shared" si="0"/>
        <v>16.059999999999999</v>
      </c>
      <c r="Y34" s="57">
        <f>U34+I34+D34+Q34</f>
        <v>16</v>
      </c>
      <c r="Z34" s="34">
        <f t="shared" si="1"/>
        <v>5.9999999999998721E-2</v>
      </c>
      <c r="AA34" s="58">
        <f t="shared" si="2"/>
        <v>5.5995370370370369E-2</v>
      </c>
      <c r="AB34" s="33">
        <f>SUM(X32:X34)</f>
        <v>38.56</v>
      </c>
      <c r="AC34" s="21">
        <f>SUM(AA32:AA34)</f>
        <v>9.8055555555555562E-2</v>
      </c>
      <c r="AD34" s="19"/>
      <c r="AE34" s="36"/>
      <c r="AF34" s="18"/>
      <c r="AG34" s="36"/>
      <c r="AH34" s="18"/>
      <c r="AI34" s="36"/>
      <c r="AJ34" s="18"/>
      <c r="AK34" s="36"/>
      <c r="AL34" s="18"/>
      <c r="AM34" s="36"/>
      <c r="AN34" s="18"/>
      <c r="AO34" s="36"/>
      <c r="AP34" s="18"/>
      <c r="AQ34" s="38"/>
    </row>
    <row r="35" spans="1:43" x14ac:dyDescent="0.25">
      <c r="A35" s="10"/>
      <c r="B35" s="49" t="s">
        <v>24</v>
      </c>
      <c r="C35" s="81">
        <v>41170</v>
      </c>
      <c r="D35" s="3">
        <v>10</v>
      </c>
      <c r="E35" s="50">
        <v>10.130000000000001</v>
      </c>
      <c r="F35" s="2">
        <v>0.22569444444444445</v>
      </c>
      <c r="G35" s="52">
        <v>0.20138888888888887</v>
      </c>
      <c r="H35" s="15">
        <v>3.4039351851851855E-2</v>
      </c>
      <c r="I35" s="11"/>
      <c r="J35" s="50"/>
      <c r="K35" s="11"/>
      <c r="L35" s="50"/>
      <c r="M35" s="11"/>
      <c r="N35" s="44"/>
      <c r="O35" s="26"/>
      <c r="P35" s="53"/>
      <c r="Q35" s="54"/>
      <c r="R35" s="11"/>
      <c r="S35" s="50"/>
      <c r="T35" s="4"/>
      <c r="U35" s="11"/>
      <c r="V35" s="50"/>
      <c r="W35" s="11"/>
      <c r="X35" s="61">
        <f t="shared" si="0"/>
        <v>10.130000000000001</v>
      </c>
      <c r="Y35" s="46">
        <f>U35+I35+D35+Q35</f>
        <v>10</v>
      </c>
      <c r="Z35" s="27">
        <f t="shared" si="1"/>
        <v>0.13000000000000078</v>
      </c>
      <c r="AA35" s="63">
        <f t="shared" si="2"/>
        <v>3.4039351851851855E-2</v>
      </c>
      <c r="AB35" s="59"/>
      <c r="AC35" s="51"/>
      <c r="AD35" s="3"/>
      <c r="AE35" s="9">
        <f>$AD$2-AD35</f>
        <v>82.7</v>
      </c>
      <c r="AG35" s="9">
        <f>$AF$2-AF35</f>
        <v>41</v>
      </c>
      <c r="AI35" s="9">
        <f>$AH$2-AH35</f>
        <v>59</v>
      </c>
      <c r="AK35" s="9">
        <f>$AJ$2-AJ35</f>
        <v>97</v>
      </c>
      <c r="AL35"/>
      <c r="AM35" s="9">
        <f>$AL$2-AL35</f>
        <v>100</v>
      </c>
      <c r="AO35" s="9">
        <f>$AN$2-AN35</f>
        <v>30</v>
      </c>
      <c r="AQ35" s="37">
        <f>$AP$2-AP35</f>
        <v>43</v>
      </c>
    </row>
    <row r="36" spans="1:43" x14ac:dyDescent="0.25">
      <c r="A36" s="10">
        <v>16</v>
      </c>
      <c r="B36" s="49" t="s">
        <v>26</v>
      </c>
      <c r="C36" s="81">
        <v>41172</v>
      </c>
      <c r="D36" s="3">
        <v>8</v>
      </c>
      <c r="E36" s="50">
        <v>11.27</v>
      </c>
      <c r="F36" s="2">
        <v>0.22569444444444445</v>
      </c>
      <c r="G36" s="52">
        <v>0.20277777777777781</v>
      </c>
      <c r="H36" s="15">
        <v>3.8090277777777778E-2</v>
      </c>
      <c r="I36" s="11">
        <v>2</v>
      </c>
      <c r="J36" s="50">
        <v>0</v>
      </c>
      <c r="K36" s="2">
        <v>0.22569444444444445</v>
      </c>
      <c r="L36" s="52"/>
      <c r="M36" s="26"/>
      <c r="N36" s="44"/>
      <c r="O36" s="26"/>
      <c r="P36" s="53" t="s">
        <v>38</v>
      </c>
      <c r="Q36" s="54">
        <v>0</v>
      </c>
      <c r="R36" s="11"/>
      <c r="S36" s="64"/>
      <c r="T36" s="15"/>
      <c r="U36" s="11"/>
      <c r="V36" s="50"/>
      <c r="W36" s="11"/>
      <c r="X36" s="61">
        <f t="shared" si="0"/>
        <v>11.27</v>
      </c>
      <c r="Y36" s="46">
        <f>U36+I36+D36+Q36</f>
        <v>10</v>
      </c>
      <c r="Z36" s="27">
        <f t="shared" si="1"/>
        <v>1.2699999999999996</v>
      </c>
      <c r="AA36" s="63">
        <f t="shared" si="2"/>
        <v>3.8090277777777778E-2</v>
      </c>
      <c r="AB36" s="59"/>
      <c r="AC36" s="51"/>
      <c r="AD36" s="3"/>
      <c r="AE36" s="55"/>
      <c r="AF36" s="11"/>
      <c r="AG36" s="55"/>
      <c r="AH36" s="11"/>
      <c r="AI36" s="55"/>
      <c r="AJ36" s="11"/>
      <c r="AK36" s="55"/>
      <c r="AL36" s="11"/>
      <c r="AM36" s="55"/>
      <c r="AN36" s="11"/>
      <c r="AO36" s="55"/>
      <c r="AP36" s="11"/>
      <c r="AQ36" s="37"/>
    </row>
    <row r="37" spans="1:43" x14ac:dyDescent="0.25">
      <c r="A37" s="56"/>
      <c r="B37" s="17"/>
      <c r="C37" s="34"/>
      <c r="D37" s="19">
        <v>6</v>
      </c>
      <c r="E37" s="20">
        <v>0</v>
      </c>
      <c r="F37" s="21">
        <v>0.22569444444444445</v>
      </c>
      <c r="G37" s="22"/>
      <c r="H37" s="23"/>
      <c r="I37" s="18"/>
      <c r="J37" s="20"/>
      <c r="K37" s="18"/>
      <c r="L37" s="20"/>
      <c r="M37" s="18"/>
      <c r="N37" s="45"/>
      <c r="O37" s="26"/>
      <c r="P37" s="31"/>
      <c r="Q37" s="42"/>
      <c r="R37" s="18"/>
      <c r="S37" s="20"/>
      <c r="T37" s="24"/>
      <c r="U37" s="18"/>
      <c r="V37" s="20"/>
      <c r="W37" s="18"/>
      <c r="X37" s="28">
        <f t="shared" si="0"/>
        <v>0</v>
      </c>
      <c r="Y37" s="57">
        <f>U37+I37+D37+Q37</f>
        <v>6</v>
      </c>
      <c r="Z37" s="34">
        <f t="shared" si="1"/>
        <v>-6</v>
      </c>
      <c r="AA37" s="58">
        <f t="shared" si="2"/>
        <v>0</v>
      </c>
      <c r="AB37" s="33">
        <f>SUM(X35:X37)</f>
        <v>21.4</v>
      </c>
      <c r="AC37" s="21">
        <f>SUM(AA35:AA37)</f>
        <v>7.2129629629629627E-2</v>
      </c>
      <c r="AD37" s="19"/>
      <c r="AE37" s="36"/>
      <c r="AF37" s="18"/>
      <c r="AG37" s="36"/>
      <c r="AH37" s="18"/>
      <c r="AI37" s="36"/>
      <c r="AJ37" s="18"/>
      <c r="AK37" s="36"/>
      <c r="AL37" s="18"/>
      <c r="AM37" s="36"/>
      <c r="AN37" s="18"/>
      <c r="AO37" s="36"/>
      <c r="AP37" s="18"/>
      <c r="AQ37" s="38"/>
    </row>
    <row r="38" spans="1:43" x14ac:dyDescent="0.25">
      <c r="A38" s="65"/>
      <c r="B38" s="66" t="s">
        <v>27</v>
      </c>
      <c r="C38" s="86">
        <v>41175</v>
      </c>
      <c r="D38" s="68"/>
      <c r="E38" s="69"/>
      <c r="F38" s="70"/>
      <c r="G38" s="69"/>
      <c r="H38" s="78"/>
      <c r="I38" s="70"/>
      <c r="J38" s="69"/>
      <c r="K38" s="70"/>
      <c r="L38" s="69"/>
      <c r="M38" s="70"/>
      <c r="N38" s="77"/>
      <c r="O38" s="83"/>
      <c r="P38" s="71"/>
      <c r="Q38" s="72"/>
      <c r="R38" s="70"/>
      <c r="S38" s="69"/>
      <c r="T38" s="76"/>
      <c r="U38" s="70">
        <v>42.195</v>
      </c>
      <c r="V38" s="79">
        <v>0.20416666666666669</v>
      </c>
      <c r="W38" s="80">
        <v>0.14445601851851853</v>
      </c>
      <c r="X38" s="75">
        <f>U38</f>
        <v>42.195</v>
      </c>
      <c r="Y38" s="70">
        <v>42.195</v>
      </c>
      <c r="Z38" s="67">
        <f>X38-Y38</f>
        <v>0</v>
      </c>
      <c r="AA38" s="58">
        <f t="shared" si="2"/>
        <v>0.14445601851851853</v>
      </c>
      <c r="AB38" s="68"/>
      <c r="AC38" s="76"/>
      <c r="AD38" s="70"/>
      <c r="AE38" s="73">
        <f>$AD$2-AD38</f>
        <v>82.7</v>
      </c>
      <c r="AF38" s="70"/>
      <c r="AG38" s="73"/>
      <c r="AH38" s="70"/>
      <c r="AI38" s="73"/>
      <c r="AJ38" s="70"/>
      <c r="AK38" s="73"/>
      <c r="AL38" s="70"/>
      <c r="AM38" s="73"/>
      <c r="AN38" s="70"/>
      <c r="AO38" s="73"/>
      <c r="AP38" s="70"/>
      <c r="AQ38" s="74"/>
    </row>
    <row r="39" spans="1:43" x14ac:dyDescent="0.25">
      <c r="A39" s="6"/>
      <c r="H39" s="48"/>
    </row>
    <row r="40" spans="1:43" x14ac:dyDescent="0.25">
      <c r="A40" s="6"/>
      <c r="H40" s="48"/>
      <c r="X40" s="13">
        <f>SUM(X2:X39)</f>
        <v>605.1149999999999</v>
      </c>
      <c r="Y40" s="13">
        <f>SUM(Y2:Y39)</f>
        <v>625.26499999999999</v>
      </c>
      <c r="Z40" s="13">
        <f>X40-Y40</f>
        <v>-20.150000000000091</v>
      </c>
      <c r="AA40" s="14">
        <f>SUM(AA2:AA39)</f>
        <v>1.8902314814814818</v>
      </c>
      <c r="AB40" s="35">
        <f>SUM(AB2:AB37)</f>
        <v>562.91999999999996</v>
      </c>
      <c r="AC40" s="21">
        <f>SUM(AC2:AC39)</f>
        <v>1.7457754629629632</v>
      </c>
    </row>
    <row r="41" spans="1:43" x14ac:dyDescent="0.25">
      <c r="A41" s="6"/>
      <c r="D41">
        <f>SUM(D2:D37)</f>
        <v>424</v>
      </c>
      <c r="E41">
        <f>SUM(E2:E37)</f>
        <v>443.28</v>
      </c>
      <c r="H41" s="48"/>
      <c r="I41">
        <f>SUM(I2:I37)</f>
        <v>46</v>
      </c>
      <c r="J41">
        <f>SUM(J2:J37)</f>
        <v>31.570000000000004</v>
      </c>
      <c r="Q41">
        <f>SUM(Q2:Q37)</f>
        <v>70</v>
      </c>
      <c r="U41">
        <f>SUM(U2:U37)</f>
        <v>23</v>
      </c>
      <c r="V41"/>
    </row>
    <row r="42" spans="1:43" x14ac:dyDescent="0.25">
      <c r="A42" s="6"/>
    </row>
    <row r="43" spans="1:43" x14ac:dyDescent="0.25">
      <c r="A43" s="6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zoomScaleNormal="100" workbookViewId="0">
      <selection activeCell="M46" sqref="M46"/>
    </sheetView>
  </sheetViews>
  <sheetFormatPr defaultColWidth="9.140625" defaultRowHeight="15" x14ac:dyDescent="0.25"/>
  <cols>
    <col min="1" max="1" width="6.28515625" style="277" bestFit="1" customWidth="1"/>
    <col min="2" max="2" width="7.85546875" style="277" bestFit="1" customWidth="1"/>
    <col min="3" max="3" width="6.28515625" style="277" bestFit="1" customWidth="1"/>
    <col min="4" max="6" width="8.7109375" style="277" customWidth="1"/>
    <col min="7" max="7" width="8.7109375" style="278" customWidth="1"/>
    <col min="8" max="10" width="8.7109375" style="277" customWidth="1"/>
    <col min="11" max="11" width="7.7109375" style="327" customWidth="1"/>
    <col min="12" max="12" width="4.5703125" style="331" bestFit="1" customWidth="1"/>
    <col min="13" max="13" width="5.5703125" style="277" bestFit="1" customWidth="1"/>
    <col min="14" max="14" width="8.7109375" style="331" customWidth="1"/>
    <col min="15" max="20" width="8.7109375" style="277" customWidth="1"/>
    <col min="21" max="21" width="9.140625" style="277"/>
    <col min="22" max="22" width="12.140625" style="342" bestFit="1" customWidth="1"/>
    <col min="23" max="16384" width="9.140625" style="277"/>
  </cols>
  <sheetData>
    <row r="1" spans="1:23" s="279" customFormat="1" x14ac:dyDescent="0.25">
      <c r="A1" s="337" t="s">
        <v>371</v>
      </c>
      <c r="B1" s="338">
        <v>42959</v>
      </c>
      <c r="C1" s="339"/>
      <c r="D1" s="339" t="s">
        <v>380</v>
      </c>
      <c r="E1" s="339"/>
      <c r="F1" s="340">
        <v>0.30833333333333335</v>
      </c>
      <c r="G1" s="281"/>
      <c r="H1" s="279" t="s">
        <v>72</v>
      </c>
      <c r="N1" s="330"/>
      <c r="V1" s="341"/>
    </row>
    <row r="2" spans="1:23" s="279" customFormat="1" x14ac:dyDescent="0.25">
      <c r="D2" s="305" t="s">
        <v>386</v>
      </c>
      <c r="E2" s="279" t="s">
        <v>19</v>
      </c>
      <c r="F2" s="279" t="s">
        <v>329</v>
      </c>
      <c r="G2" s="281" t="s">
        <v>381</v>
      </c>
      <c r="H2" s="279" t="s">
        <v>387</v>
      </c>
      <c r="I2" s="279" t="s">
        <v>72</v>
      </c>
      <c r="J2" s="279" t="s">
        <v>5</v>
      </c>
      <c r="K2" s="326" t="s">
        <v>7</v>
      </c>
      <c r="L2" s="330" t="s">
        <v>19</v>
      </c>
      <c r="M2" s="279" t="s">
        <v>385</v>
      </c>
      <c r="N2" s="330"/>
      <c r="P2" s="279" t="s">
        <v>382</v>
      </c>
      <c r="R2" s="279" t="s">
        <v>329</v>
      </c>
      <c r="S2" s="279" t="s">
        <v>329</v>
      </c>
      <c r="T2" s="279" t="s">
        <v>19</v>
      </c>
      <c r="V2" s="341"/>
    </row>
    <row r="3" spans="1:23" x14ac:dyDescent="0.25">
      <c r="A3" s="279"/>
      <c r="B3" s="279" t="s">
        <v>100</v>
      </c>
      <c r="D3" s="307">
        <v>0.30833333333333335</v>
      </c>
      <c r="H3" s="279" t="s">
        <v>381</v>
      </c>
      <c r="L3" s="330" t="s">
        <v>100</v>
      </c>
      <c r="N3" s="330"/>
      <c r="P3" s="279" t="s">
        <v>7</v>
      </c>
      <c r="R3" s="279" t="s">
        <v>384</v>
      </c>
      <c r="S3" s="279" t="s">
        <v>100</v>
      </c>
      <c r="T3" s="279" t="s">
        <v>100</v>
      </c>
      <c r="V3" s="342" t="s">
        <v>391</v>
      </c>
    </row>
    <row r="4" spans="1:23" x14ac:dyDescent="0.25">
      <c r="A4" s="279" t="s">
        <v>100</v>
      </c>
      <c r="B4" s="279" t="s">
        <v>383</v>
      </c>
      <c r="C4" s="279" t="s">
        <v>325</v>
      </c>
      <c r="M4" s="280">
        <v>0.25</v>
      </c>
      <c r="R4" s="304"/>
      <c r="S4" s="304"/>
      <c r="T4" s="304"/>
    </row>
    <row r="5" spans="1:23" s="321" customFormat="1" x14ac:dyDescent="0.25">
      <c r="A5" s="321">
        <v>7</v>
      </c>
      <c r="B5" s="321">
        <f>A5</f>
        <v>7</v>
      </c>
      <c r="C5" s="321">
        <v>1</v>
      </c>
      <c r="D5" s="306">
        <v>3.5972222222222218E-2</v>
      </c>
      <c r="E5" s="313">
        <v>2.6736111111111113E-2</v>
      </c>
      <c r="F5" s="313">
        <v>0</v>
      </c>
      <c r="G5" s="313">
        <v>1.3888888888888889E-3</v>
      </c>
      <c r="H5" s="315">
        <f t="shared" ref="H5:H18" si="0">E5+F5+G5</f>
        <v>2.8125000000000001E-2</v>
      </c>
      <c r="I5" s="313">
        <f>E5+G5</f>
        <v>2.8125000000000001E-2</v>
      </c>
      <c r="J5" s="313">
        <f t="shared" ref="J5:J18" si="1">D5-I5</f>
        <v>7.8472222222222172E-3</v>
      </c>
      <c r="K5" s="325">
        <v>3.8194444444444443E-3</v>
      </c>
      <c r="L5" s="322">
        <v>2</v>
      </c>
      <c r="M5" s="314">
        <v>0.27777777777777779</v>
      </c>
      <c r="N5" s="322"/>
      <c r="O5" s="304">
        <f t="shared" ref="O5:O45" si="2">S5+T5</f>
        <v>7</v>
      </c>
      <c r="P5" s="309">
        <v>0.24097222222222223</v>
      </c>
      <c r="T5" s="321">
        <v>7</v>
      </c>
      <c r="V5" s="343" t="s">
        <v>392</v>
      </c>
      <c r="W5" s="195" t="s">
        <v>397</v>
      </c>
    </row>
    <row r="6" spans="1:23" s="195" customFormat="1" x14ac:dyDescent="0.25">
      <c r="A6" s="195">
        <v>13</v>
      </c>
      <c r="B6" s="195">
        <f>A6-B5</f>
        <v>6</v>
      </c>
      <c r="C6" s="195">
        <v>2</v>
      </c>
      <c r="D6" s="308">
        <v>6.6805555555555562E-2</v>
      </c>
      <c r="E6" s="315">
        <v>2.2916666666666669E-2</v>
      </c>
      <c r="F6" s="313">
        <v>0</v>
      </c>
      <c r="G6" s="313">
        <v>1.3888888888888889E-3</v>
      </c>
      <c r="H6" s="315">
        <f t="shared" si="0"/>
        <v>2.4305555555555556E-2</v>
      </c>
      <c r="I6" s="315">
        <f>I5+E6+F6+G6</f>
        <v>5.2430555555555557E-2</v>
      </c>
      <c r="J6" s="315">
        <f t="shared" si="1"/>
        <v>1.4375000000000006E-2</v>
      </c>
      <c r="K6" s="325">
        <v>3.8194444444444443E-3</v>
      </c>
      <c r="L6" s="332">
        <v>2</v>
      </c>
      <c r="M6" s="323">
        <v>0.30208333333333331</v>
      </c>
      <c r="N6" s="332"/>
      <c r="O6" s="304">
        <f t="shared" si="2"/>
        <v>6</v>
      </c>
      <c r="P6" s="309">
        <v>0.24305555555555555</v>
      </c>
      <c r="T6" s="195">
        <v>6</v>
      </c>
      <c r="V6" s="343" t="s">
        <v>393</v>
      </c>
      <c r="W6" s="195" t="s">
        <v>397</v>
      </c>
    </row>
    <row r="7" spans="1:23" s="321" customFormat="1" x14ac:dyDescent="0.25">
      <c r="A7" s="321">
        <v>18</v>
      </c>
      <c r="B7" s="195">
        <f t="shared" ref="B7:B44" si="3">A7-A6</f>
        <v>5</v>
      </c>
      <c r="C7" s="321">
        <v>3</v>
      </c>
      <c r="D7" s="306">
        <v>9.2500000000000013E-2</v>
      </c>
      <c r="E7" s="313">
        <v>1.909722222222222E-2</v>
      </c>
      <c r="F7" s="313">
        <v>0</v>
      </c>
      <c r="G7" s="313">
        <v>1.3888888888888889E-3</v>
      </c>
      <c r="H7" s="315">
        <f t="shared" si="0"/>
        <v>2.0486111111111108E-2</v>
      </c>
      <c r="I7" s="315">
        <f>I6+E7+F7+G7</f>
        <v>7.2916666666666657E-2</v>
      </c>
      <c r="J7" s="313">
        <f t="shared" si="1"/>
        <v>1.9583333333333355E-2</v>
      </c>
      <c r="K7" s="325">
        <v>3.8194444444444443E-3</v>
      </c>
      <c r="L7" s="322">
        <v>2</v>
      </c>
      <c r="M7" s="314">
        <v>0.32291666666666669</v>
      </c>
      <c r="N7" s="322"/>
      <c r="O7" s="304">
        <f t="shared" si="2"/>
        <v>5</v>
      </c>
      <c r="P7" s="309">
        <v>0.24583333333333335</v>
      </c>
      <c r="T7" s="321">
        <v>5</v>
      </c>
      <c r="V7" s="343" t="s">
        <v>394</v>
      </c>
      <c r="W7" s="195" t="s">
        <v>397</v>
      </c>
    </row>
    <row r="8" spans="1:23" s="304" customFormat="1" x14ac:dyDescent="0.25">
      <c r="A8" s="304">
        <v>23</v>
      </c>
      <c r="B8" s="304">
        <f t="shared" si="3"/>
        <v>5</v>
      </c>
      <c r="C8" s="304">
        <v>4</v>
      </c>
      <c r="D8" s="308">
        <v>0.11819444444444445</v>
      </c>
      <c r="E8" s="312">
        <v>1.8368055555555554E-2</v>
      </c>
      <c r="F8" s="312">
        <v>2.7777777777777779E-3</v>
      </c>
      <c r="G8" s="310">
        <v>1.3888888888888889E-3</v>
      </c>
      <c r="H8" s="312">
        <f t="shared" si="0"/>
        <v>2.253472222222222E-2</v>
      </c>
      <c r="I8" s="312">
        <f t="shared" ref="I8:I18" si="4">I7+G8+F8+E8</f>
        <v>9.5451388888888877E-2</v>
      </c>
      <c r="J8" s="312">
        <f t="shared" si="1"/>
        <v>2.2743055555555572E-2</v>
      </c>
      <c r="K8" s="328">
        <v>3.9930555555555561E-3</v>
      </c>
      <c r="L8" s="333">
        <v>1.8</v>
      </c>
      <c r="M8" s="324">
        <v>0.34513888888888888</v>
      </c>
      <c r="N8" s="333"/>
      <c r="O8" s="304">
        <f t="shared" si="2"/>
        <v>5</v>
      </c>
      <c r="P8" s="309">
        <v>0.27013888888888887</v>
      </c>
      <c r="R8" s="304">
        <v>2</v>
      </c>
      <c r="S8" s="304">
        <f t="shared" ref="S8:S14" si="5">R8*0.2</f>
        <v>0.4</v>
      </c>
      <c r="T8" s="304">
        <f t="shared" ref="T8:T18" si="6">B8-S8</f>
        <v>4.5999999999999996</v>
      </c>
      <c r="V8" s="343" t="s">
        <v>395</v>
      </c>
      <c r="W8" s="195" t="s">
        <v>401</v>
      </c>
    </row>
    <row r="9" spans="1:23" s="303" customFormat="1" x14ac:dyDescent="0.25">
      <c r="A9" s="303">
        <v>30</v>
      </c>
      <c r="B9" s="304">
        <f t="shared" si="3"/>
        <v>7</v>
      </c>
      <c r="C9" s="303">
        <v>5</v>
      </c>
      <c r="D9" s="306">
        <v>0.15416666666666667</v>
      </c>
      <c r="E9" s="310">
        <v>2.4756944444444443E-2</v>
      </c>
      <c r="F9" s="312">
        <v>5.5555555555555558E-3</v>
      </c>
      <c r="G9" s="310">
        <v>1.3888888888888889E-3</v>
      </c>
      <c r="H9" s="312">
        <f t="shared" si="0"/>
        <v>3.170138888888889E-2</v>
      </c>
      <c r="I9" s="312">
        <f t="shared" si="4"/>
        <v>0.12715277777777775</v>
      </c>
      <c r="J9" s="310">
        <f t="shared" si="1"/>
        <v>2.7013888888888921E-2</v>
      </c>
      <c r="K9" s="328">
        <v>3.9930555555555561E-3</v>
      </c>
      <c r="L9" s="333">
        <v>1.8</v>
      </c>
      <c r="M9" s="311">
        <v>0.37708333333333338</v>
      </c>
      <c r="N9" s="333"/>
      <c r="O9" s="304">
        <f t="shared" si="2"/>
        <v>7</v>
      </c>
      <c r="P9" s="309">
        <v>0.27152777777777776</v>
      </c>
      <c r="R9" s="303">
        <v>4</v>
      </c>
      <c r="S9" s="304">
        <f t="shared" si="5"/>
        <v>0.8</v>
      </c>
      <c r="T9" s="304">
        <f t="shared" si="6"/>
        <v>6.2</v>
      </c>
      <c r="V9" s="343" t="s">
        <v>396</v>
      </c>
      <c r="W9" s="195" t="s">
        <v>399</v>
      </c>
    </row>
    <row r="10" spans="1:23" s="304" customFormat="1" x14ac:dyDescent="0.25">
      <c r="A10" s="304">
        <v>34</v>
      </c>
      <c r="B10" s="304">
        <f t="shared" si="3"/>
        <v>4</v>
      </c>
      <c r="C10" s="304" t="s">
        <v>388</v>
      </c>
      <c r="D10" s="308">
        <v>0.17472222222222222</v>
      </c>
      <c r="E10" s="312">
        <v>1.4374999999999999E-2</v>
      </c>
      <c r="F10" s="312">
        <v>2.7777777777777779E-3</v>
      </c>
      <c r="G10" s="310">
        <v>3.472222222222222E-3</v>
      </c>
      <c r="H10" s="312">
        <f t="shared" si="0"/>
        <v>2.0624999999999998E-2</v>
      </c>
      <c r="I10" s="312">
        <f t="shared" si="4"/>
        <v>0.14777777777777773</v>
      </c>
      <c r="J10" s="312">
        <f t="shared" si="1"/>
        <v>2.6944444444444493E-2</v>
      </c>
      <c r="K10" s="328">
        <v>3.9930555555555561E-3</v>
      </c>
      <c r="L10" s="333">
        <v>1.8</v>
      </c>
      <c r="M10" s="324">
        <v>0.3979166666666667</v>
      </c>
      <c r="N10" s="333"/>
      <c r="O10" s="304">
        <f t="shared" si="2"/>
        <v>4</v>
      </c>
      <c r="P10" s="309">
        <v>0.27847222222222223</v>
      </c>
      <c r="R10" s="304">
        <v>2</v>
      </c>
      <c r="S10" s="304">
        <f t="shared" si="5"/>
        <v>0.4</v>
      </c>
      <c r="T10" s="304">
        <f t="shared" si="6"/>
        <v>3.6</v>
      </c>
      <c r="V10" s="344" t="s">
        <v>398</v>
      </c>
      <c r="W10" s="195" t="s">
        <v>400</v>
      </c>
    </row>
    <row r="11" spans="1:23" s="303" customFormat="1" x14ac:dyDescent="0.25">
      <c r="A11" s="303">
        <v>39</v>
      </c>
      <c r="B11" s="304">
        <f t="shared" si="3"/>
        <v>5</v>
      </c>
      <c r="C11" s="303">
        <v>7</v>
      </c>
      <c r="D11" s="306">
        <v>0.20041666666666669</v>
      </c>
      <c r="E11" s="310">
        <v>1.8368055555555554E-2</v>
      </c>
      <c r="F11" s="312">
        <v>2.7777777777777779E-3</v>
      </c>
      <c r="G11" s="310">
        <v>1.3888888888888889E-3</v>
      </c>
      <c r="H11" s="312">
        <f t="shared" si="0"/>
        <v>2.253472222222222E-2</v>
      </c>
      <c r="I11" s="312">
        <f t="shared" si="4"/>
        <v>0.17031249999999992</v>
      </c>
      <c r="J11" s="310">
        <f t="shared" si="1"/>
        <v>3.0104166666666765E-2</v>
      </c>
      <c r="K11" s="328">
        <v>3.9930555555555561E-3</v>
      </c>
      <c r="L11" s="333">
        <v>1.8</v>
      </c>
      <c r="M11" s="311">
        <v>0.4201388888888889</v>
      </c>
      <c r="N11" s="333"/>
      <c r="O11" s="304">
        <f t="shared" si="2"/>
        <v>5</v>
      </c>
      <c r="P11" s="309">
        <v>0.27013888888888887</v>
      </c>
      <c r="R11" s="303">
        <v>2</v>
      </c>
      <c r="S11" s="304">
        <f t="shared" si="5"/>
        <v>0.4</v>
      </c>
      <c r="T11" s="304">
        <f t="shared" si="6"/>
        <v>4.5999999999999996</v>
      </c>
      <c r="V11" s="343" t="s">
        <v>402</v>
      </c>
      <c r="W11" s="195"/>
    </row>
    <row r="12" spans="1:23" x14ac:dyDescent="0.25">
      <c r="A12" s="277">
        <v>46</v>
      </c>
      <c r="B12" s="277">
        <f t="shared" si="3"/>
        <v>7</v>
      </c>
      <c r="C12" s="277">
        <v>8</v>
      </c>
      <c r="D12" s="308">
        <v>0.2363888888888889</v>
      </c>
      <c r="E12" s="278">
        <v>2.5833333333333333E-2</v>
      </c>
      <c r="F12" s="278">
        <v>5.5555555555555558E-3</v>
      </c>
      <c r="G12" s="281">
        <v>1.3888888888888889E-3</v>
      </c>
      <c r="H12" s="315">
        <f t="shared" si="0"/>
        <v>3.2777777777777781E-2</v>
      </c>
      <c r="I12" s="278">
        <f t="shared" si="4"/>
        <v>0.20309027777777772</v>
      </c>
      <c r="J12" s="278">
        <f t="shared" si="1"/>
        <v>3.3298611111111182E-2</v>
      </c>
      <c r="K12" s="327">
        <v>4.1666666666666666E-3</v>
      </c>
      <c r="L12" s="331">
        <v>1.8</v>
      </c>
      <c r="M12" s="280">
        <v>0.45277777777777778</v>
      </c>
      <c r="O12" s="304">
        <f t="shared" si="2"/>
        <v>7</v>
      </c>
      <c r="P12" s="309">
        <v>0.28125</v>
      </c>
      <c r="R12" s="277">
        <v>4</v>
      </c>
      <c r="S12" s="277">
        <f t="shared" si="5"/>
        <v>0.8</v>
      </c>
      <c r="T12" s="277">
        <f t="shared" si="6"/>
        <v>6.2</v>
      </c>
      <c r="V12" s="344" t="s">
        <v>403</v>
      </c>
      <c r="W12" s="195"/>
    </row>
    <row r="13" spans="1:23" s="279" customFormat="1" x14ac:dyDescent="0.25">
      <c r="A13" s="279">
        <v>52</v>
      </c>
      <c r="B13" s="277">
        <f t="shared" si="3"/>
        <v>6</v>
      </c>
      <c r="C13" s="279">
        <v>9</v>
      </c>
      <c r="D13" s="306">
        <v>0.26722222222222219</v>
      </c>
      <c r="E13" s="281">
        <v>2.2499999999999996E-2</v>
      </c>
      <c r="F13" s="278">
        <v>4.1666666666666666E-3</v>
      </c>
      <c r="G13" s="281">
        <v>1.3888888888888889E-3</v>
      </c>
      <c r="H13" s="315">
        <f t="shared" si="0"/>
        <v>2.8055555555555549E-2</v>
      </c>
      <c r="I13" s="278">
        <f t="shared" si="4"/>
        <v>0.23114583333333327</v>
      </c>
      <c r="J13" s="281">
        <f t="shared" si="1"/>
        <v>3.6076388888888922E-2</v>
      </c>
      <c r="K13" s="327">
        <v>4.1666666666666666E-3</v>
      </c>
      <c r="L13" s="330">
        <v>1.8</v>
      </c>
      <c r="M13" s="283">
        <v>0.48055555555555557</v>
      </c>
      <c r="N13" s="330"/>
      <c r="O13" s="304">
        <f t="shared" si="2"/>
        <v>6</v>
      </c>
      <c r="P13" s="309">
        <v>0.28055555555555556</v>
      </c>
      <c r="R13" s="279">
        <v>3</v>
      </c>
      <c r="S13" s="277">
        <f t="shared" si="5"/>
        <v>0.60000000000000009</v>
      </c>
      <c r="T13" s="277">
        <f t="shared" si="6"/>
        <v>5.4</v>
      </c>
      <c r="V13" s="341"/>
    </row>
    <row r="14" spans="1:23" x14ac:dyDescent="0.25">
      <c r="A14" s="277">
        <v>59</v>
      </c>
      <c r="B14" s="277">
        <f t="shared" si="3"/>
        <v>7</v>
      </c>
      <c r="C14" s="277">
        <v>10</v>
      </c>
      <c r="D14" s="308">
        <v>0.30319444444444443</v>
      </c>
      <c r="E14" s="278">
        <v>2.6666666666666668E-2</v>
      </c>
      <c r="F14" s="278">
        <v>4.1666666666666666E-3</v>
      </c>
      <c r="G14" s="281">
        <v>1.3888888888888889E-3</v>
      </c>
      <c r="H14" s="315">
        <f t="shared" si="0"/>
        <v>3.2222222222222222E-2</v>
      </c>
      <c r="I14" s="278">
        <f t="shared" si="4"/>
        <v>0.26336805555555548</v>
      </c>
      <c r="J14" s="278">
        <f t="shared" si="1"/>
        <v>3.9826388888888953E-2</v>
      </c>
      <c r="K14" s="327">
        <v>4.1666666666666666E-3</v>
      </c>
      <c r="L14" s="331">
        <v>1.8</v>
      </c>
      <c r="M14" s="280">
        <v>0.5131944444444444</v>
      </c>
      <c r="O14" s="304">
        <f t="shared" si="2"/>
        <v>7</v>
      </c>
      <c r="P14" s="309">
        <v>0.27638888888888885</v>
      </c>
      <c r="R14" s="277">
        <v>3</v>
      </c>
      <c r="S14" s="277">
        <f t="shared" si="5"/>
        <v>0.60000000000000009</v>
      </c>
      <c r="T14" s="277">
        <f t="shared" si="6"/>
        <v>6.4</v>
      </c>
    </row>
    <row r="15" spans="1:23" s="303" customFormat="1" x14ac:dyDescent="0.25">
      <c r="A15" s="303">
        <v>63</v>
      </c>
      <c r="B15" s="304">
        <f t="shared" si="3"/>
        <v>4</v>
      </c>
      <c r="C15" s="303">
        <v>11</v>
      </c>
      <c r="D15" s="306">
        <v>0.32374999999999998</v>
      </c>
      <c r="E15" s="310">
        <v>1.3460648148148147E-2</v>
      </c>
      <c r="F15" s="312">
        <v>6.2499999999999995E-3</v>
      </c>
      <c r="G15" s="310">
        <v>1.3888888888888889E-3</v>
      </c>
      <c r="H15" s="312">
        <f t="shared" si="0"/>
        <v>2.1099537037037035E-2</v>
      </c>
      <c r="I15" s="310">
        <f t="shared" si="4"/>
        <v>0.28446759259259247</v>
      </c>
      <c r="J15" s="310">
        <f t="shared" si="1"/>
        <v>3.9282407407407516E-2</v>
      </c>
      <c r="K15" s="329">
        <v>4.340277777777778E-3</v>
      </c>
      <c r="L15" s="334">
        <v>1.7</v>
      </c>
      <c r="M15" s="311">
        <v>0.53402777777777777</v>
      </c>
      <c r="N15" s="334"/>
      <c r="O15" s="304">
        <f t="shared" si="2"/>
        <v>4</v>
      </c>
      <c r="P15" s="309">
        <v>0.30486111111111108</v>
      </c>
      <c r="R15" s="303">
        <v>3</v>
      </c>
      <c r="S15" s="304">
        <f>R15*0.3</f>
        <v>0.89999999999999991</v>
      </c>
      <c r="T15" s="304">
        <f t="shared" si="6"/>
        <v>3.1</v>
      </c>
      <c r="V15" s="346"/>
    </row>
    <row r="16" spans="1:23" s="304" customFormat="1" x14ac:dyDescent="0.25">
      <c r="A16" s="304">
        <v>71</v>
      </c>
      <c r="B16" s="304">
        <f t="shared" si="3"/>
        <v>8</v>
      </c>
      <c r="C16" s="304" t="s">
        <v>389</v>
      </c>
      <c r="D16" s="308">
        <v>0.36486111111111108</v>
      </c>
      <c r="E16" s="312">
        <v>2.9513888888888892E-2</v>
      </c>
      <c r="F16" s="312">
        <v>8.3333333333333332E-3</v>
      </c>
      <c r="G16" s="310">
        <v>3.472222222222222E-3</v>
      </c>
      <c r="H16" s="312">
        <f t="shared" si="0"/>
        <v>4.131944444444445E-2</v>
      </c>
      <c r="I16" s="310">
        <f t="shared" si="4"/>
        <v>0.32578703703703693</v>
      </c>
      <c r="J16" s="312">
        <f t="shared" si="1"/>
        <v>3.907407407407415E-2</v>
      </c>
      <c r="K16" s="329">
        <v>4.340277777777778E-3</v>
      </c>
      <c r="L16" s="333">
        <v>1.7</v>
      </c>
      <c r="M16" s="324">
        <v>0.5756944444444444</v>
      </c>
      <c r="N16" s="333"/>
      <c r="O16" s="304">
        <f t="shared" si="2"/>
        <v>8</v>
      </c>
      <c r="P16" s="309">
        <v>0.28680555555555554</v>
      </c>
      <c r="R16" s="304">
        <v>4</v>
      </c>
      <c r="S16" s="304">
        <f>R16*0.3</f>
        <v>1.2</v>
      </c>
      <c r="T16" s="304">
        <f t="shared" si="6"/>
        <v>6.8</v>
      </c>
      <c r="V16" s="345"/>
    </row>
    <row r="17" spans="1:22" s="303" customFormat="1" x14ac:dyDescent="0.25">
      <c r="A17" s="303">
        <v>77</v>
      </c>
      <c r="B17" s="304">
        <f t="shared" si="3"/>
        <v>6</v>
      </c>
      <c r="C17" s="303">
        <v>13</v>
      </c>
      <c r="D17" s="306">
        <v>0.3956944444444444</v>
      </c>
      <c r="E17" s="310">
        <v>2.2141203703703705E-2</v>
      </c>
      <c r="F17" s="312">
        <v>6.2499999999999995E-3</v>
      </c>
      <c r="G17" s="310">
        <v>1.3888888888888889E-3</v>
      </c>
      <c r="H17" s="312">
        <f t="shared" si="0"/>
        <v>2.9780092592592591E-2</v>
      </c>
      <c r="I17" s="310">
        <f t="shared" si="4"/>
        <v>0.3555671296296295</v>
      </c>
      <c r="J17" s="310">
        <f t="shared" si="1"/>
        <v>4.0127314814814907E-2</v>
      </c>
      <c r="K17" s="329">
        <v>4.340277777777778E-3</v>
      </c>
      <c r="L17" s="334">
        <v>1.7</v>
      </c>
      <c r="M17" s="311">
        <v>0.60555555555555551</v>
      </c>
      <c r="N17" s="334"/>
      <c r="O17" s="304">
        <f t="shared" si="2"/>
        <v>6</v>
      </c>
      <c r="P17" s="309">
        <v>0.2902777777777778</v>
      </c>
      <c r="R17" s="303">
        <v>3</v>
      </c>
      <c r="S17" s="304">
        <f>R17*0.3</f>
        <v>0.89999999999999991</v>
      </c>
      <c r="T17" s="304">
        <f t="shared" si="6"/>
        <v>5.0999999999999996</v>
      </c>
      <c r="V17" s="346"/>
    </row>
    <row r="18" spans="1:22" s="304" customFormat="1" x14ac:dyDescent="0.25">
      <c r="A18" s="304">
        <v>83</v>
      </c>
      <c r="B18" s="304">
        <f t="shared" si="3"/>
        <v>6</v>
      </c>
      <c r="C18" s="304">
        <v>14</v>
      </c>
      <c r="D18" s="308">
        <v>0.42652777777777778</v>
      </c>
      <c r="E18" s="312">
        <v>2.2141203703703705E-2</v>
      </c>
      <c r="F18" s="312">
        <v>6.2499999999999995E-3</v>
      </c>
      <c r="G18" s="310">
        <v>1.3888888888888889E-3</v>
      </c>
      <c r="H18" s="312">
        <f t="shared" si="0"/>
        <v>2.9780092592592591E-2</v>
      </c>
      <c r="I18" s="310">
        <f t="shared" si="4"/>
        <v>0.38534722222222206</v>
      </c>
      <c r="J18" s="312">
        <f t="shared" si="1"/>
        <v>4.118055555555572E-2</v>
      </c>
      <c r="K18" s="329">
        <v>4.340277777777778E-3</v>
      </c>
      <c r="L18" s="333">
        <v>1.7</v>
      </c>
      <c r="M18" s="324">
        <v>0.63472222222222219</v>
      </c>
      <c r="N18" s="333"/>
      <c r="O18" s="304">
        <f t="shared" si="2"/>
        <v>6</v>
      </c>
      <c r="P18" s="309">
        <v>0.2902777777777778</v>
      </c>
      <c r="R18" s="304">
        <v>3</v>
      </c>
      <c r="S18" s="304">
        <f>R18*0.3</f>
        <v>0.89999999999999991</v>
      </c>
      <c r="T18" s="304">
        <f t="shared" si="6"/>
        <v>5.0999999999999996</v>
      </c>
      <c r="V18" s="345"/>
    </row>
    <row r="19" spans="1:22" s="304" customFormat="1" x14ac:dyDescent="0.25">
      <c r="D19" s="308"/>
      <c r="E19" s="312"/>
      <c r="F19" s="312"/>
      <c r="G19" s="310"/>
      <c r="H19" s="312"/>
      <c r="I19" s="310"/>
      <c r="J19" s="312"/>
      <c r="K19" s="329"/>
      <c r="L19" s="333"/>
      <c r="M19" s="324"/>
      <c r="N19" s="333"/>
      <c r="P19" s="309"/>
      <c r="V19" s="345"/>
    </row>
    <row r="20" spans="1:22" s="304" customFormat="1" x14ac:dyDescent="0.25">
      <c r="D20" s="308"/>
      <c r="E20" s="312"/>
      <c r="F20" s="312"/>
      <c r="G20" s="310"/>
      <c r="H20" s="312"/>
      <c r="I20" s="310"/>
      <c r="J20" s="312"/>
      <c r="K20" s="329"/>
      <c r="L20" s="333"/>
      <c r="M20" s="324"/>
      <c r="N20" s="333"/>
      <c r="P20" s="309"/>
      <c r="V20" s="345"/>
    </row>
    <row r="21" spans="1:22" s="304" customFormat="1" x14ac:dyDescent="0.25">
      <c r="D21" s="308"/>
      <c r="E21" s="312"/>
      <c r="F21" s="312"/>
      <c r="G21" s="310"/>
      <c r="H21" s="312"/>
      <c r="I21" s="310"/>
      <c r="J21" s="312"/>
      <c r="K21" s="329"/>
      <c r="L21" s="333"/>
      <c r="M21" s="324"/>
      <c r="N21" s="333"/>
      <c r="P21" s="309"/>
      <c r="V21" s="345"/>
    </row>
    <row r="22" spans="1:22" s="304" customFormat="1" x14ac:dyDescent="0.25">
      <c r="D22" s="308"/>
      <c r="E22" s="312"/>
      <c r="F22" s="312"/>
      <c r="G22" s="310"/>
      <c r="H22" s="312"/>
      <c r="I22" s="310"/>
      <c r="J22" s="312"/>
      <c r="K22" s="329"/>
      <c r="L22" s="333"/>
      <c r="M22" s="324"/>
      <c r="N22" s="333"/>
      <c r="P22" s="309"/>
      <c r="V22" s="345"/>
    </row>
    <row r="23" spans="1:22" s="304" customFormat="1" x14ac:dyDescent="0.25">
      <c r="D23" s="308"/>
      <c r="E23" s="312"/>
      <c r="F23" s="312"/>
      <c r="G23" s="310"/>
      <c r="H23" s="312"/>
      <c r="I23" s="310"/>
      <c r="J23" s="312"/>
      <c r="K23" s="329"/>
      <c r="L23" s="333"/>
      <c r="M23" s="324"/>
      <c r="N23" s="333"/>
      <c r="P23" s="309"/>
      <c r="V23" s="345"/>
    </row>
    <row r="24" spans="1:22" s="304" customFormat="1" x14ac:dyDescent="0.25">
      <c r="D24" s="308"/>
      <c r="E24" s="312"/>
      <c r="F24" s="312"/>
      <c r="G24" s="310"/>
      <c r="H24" s="312"/>
      <c r="I24" s="310"/>
      <c r="J24" s="312"/>
      <c r="K24" s="329"/>
      <c r="L24" s="333"/>
      <c r="M24" s="324"/>
      <c r="N24" s="333"/>
      <c r="P24" s="309"/>
      <c r="V24" s="345"/>
    </row>
    <row r="25" spans="1:22" s="304" customFormat="1" x14ac:dyDescent="0.25">
      <c r="D25" s="308"/>
      <c r="E25" s="312"/>
      <c r="F25" s="312"/>
      <c r="G25" s="310"/>
      <c r="H25" s="312"/>
      <c r="I25" s="310"/>
      <c r="J25" s="312"/>
      <c r="K25" s="329"/>
      <c r="L25" s="333"/>
      <c r="M25" s="324"/>
      <c r="N25" s="333"/>
      <c r="P25" s="309"/>
      <c r="V25" s="345"/>
    </row>
    <row r="26" spans="1:22" s="304" customFormat="1" x14ac:dyDescent="0.25">
      <c r="D26" s="308"/>
      <c r="E26" s="312"/>
      <c r="F26" s="312"/>
      <c r="G26" s="310"/>
      <c r="H26" s="312"/>
      <c r="I26" s="310"/>
      <c r="J26" s="312"/>
      <c r="K26" s="329"/>
      <c r="L26" s="333"/>
      <c r="M26" s="324"/>
      <c r="N26" s="333"/>
      <c r="P26" s="309"/>
      <c r="V26" s="345"/>
    </row>
    <row r="27" spans="1:22" s="304" customFormat="1" x14ac:dyDescent="0.25">
      <c r="D27" s="308"/>
      <c r="E27" s="312"/>
      <c r="F27" s="312"/>
      <c r="G27" s="310"/>
      <c r="H27" s="312"/>
      <c r="I27" s="310"/>
      <c r="J27" s="312"/>
      <c r="K27" s="329"/>
      <c r="L27" s="333"/>
      <c r="M27" s="324"/>
      <c r="N27" s="333"/>
      <c r="P27" s="309"/>
      <c r="V27" s="345"/>
    </row>
    <row r="28" spans="1:22" s="304" customFormat="1" x14ac:dyDescent="0.25">
      <c r="D28" s="308"/>
      <c r="E28" s="312"/>
      <c r="F28" s="312"/>
      <c r="G28" s="310"/>
      <c r="H28" s="279" t="s">
        <v>72</v>
      </c>
      <c r="I28" s="310"/>
      <c r="J28" s="312"/>
      <c r="K28" s="329"/>
      <c r="L28" s="333"/>
      <c r="M28" s="324"/>
      <c r="N28" s="333"/>
      <c r="P28" s="309"/>
      <c r="V28" s="345"/>
    </row>
    <row r="29" spans="1:22" s="304" customFormat="1" x14ac:dyDescent="0.25">
      <c r="A29" s="279"/>
      <c r="B29" s="279"/>
      <c r="C29" s="279"/>
      <c r="D29" s="305" t="s">
        <v>386</v>
      </c>
      <c r="E29" s="279" t="s">
        <v>19</v>
      </c>
      <c r="F29" s="279" t="s">
        <v>329</v>
      </c>
      <c r="G29" s="281" t="s">
        <v>381</v>
      </c>
      <c r="H29" s="279" t="s">
        <v>387</v>
      </c>
      <c r="I29" s="279" t="s">
        <v>72</v>
      </c>
      <c r="J29" s="279" t="s">
        <v>5</v>
      </c>
      <c r="K29" s="326" t="s">
        <v>7</v>
      </c>
      <c r="L29" s="330" t="s">
        <v>19</v>
      </c>
      <c r="M29" s="279" t="s">
        <v>385</v>
      </c>
      <c r="N29" s="333"/>
      <c r="P29" s="309"/>
      <c r="V29" s="345"/>
    </row>
    <row r="30" spans="1:22" s="304" customFormat="1" x14ac:dyDescent="0.25">
      <c r="A30" s="279"/>
      <c r="B30" s="279" t="s">
        <v>100</v>
      </c>
      <c r="C30" s="277"/>
      <c r="D30" s="307">
        <v>0.30833333333333335</v>
      </c>
      <c r="E30" s="277"/>
      <c r="F30" s="277"/>
      <c r="G30" s="278"/>
      <c r="H30" s="279" t="s">
        <v>381</v>
      </c>
      <c r="I30" s="277"/>
      <c r="J30" s="277"/>
      <c r="K30" s="327"/>
      <c r="L30" s="330" t="s">
        <v>100</v>
      </c>
      <c r="M30" s="277"/>
      <c r="N30" s="333"/>
      <c r="P30" s="309"/>
      <c r="V30" s="345"/>
    </row>
    <row r="31" spans="1:22" s="304" customFormat="1" x14ac:dyDescent="0.25">
      <c r="A31" s="279" t="s">
        <v>100</v>
      </c>
      <c r="B31" s="279" t="s">
        <v>383</v>
      </c>
      <c r="C31" s="279" t="s">
        <v>325</v>
      </c>
      <c r="D31" s="308"/>
      <c r="E31" s="312"/>
      <c r="F31" s="312"/>
      <c r="G31" s="310"/>
      <c r="H31" s="312"/>
      <c r="I31" s="310"/>
      <c r="J31" s="312"/>
      <c r="K31" s="329"/>
      <c r="L31" s="333"/>
      <c r="M31" s="324"/>
      <c r="N31" s="333"/>
      <c r="P31" s="309"/>
      <c r="V31" s="345"/>
    </row>
    <row r="32" spans="1:22" s="279" customFormat="1" x14ac:dyDescent="0.25">
      <c r="A32" s="279">
        <v>90</v>
      </c>
      <c r="B32" s="277">
        <f>A32-A18</f>
        <v>7</v>
      </c>
      <c r="C32" s="279">
        <v>15</v>
      </c>
      <c r="D32" s="306">
        <v>0.46249999999999997</v>
      </c>
      <c r="E32" s="281">
        <v>2.7534722222222221E-2</v>
      </c>
      <c r="F32" s="278">
        <v>6.2499999999999995E-3</v>
      </c>
      <c r="G32" s="281">
        <v>2.0833333333333333E-3</v>
      </c>
      <c r="H32" s="315">
        <f t="shared" ref="H32:H45" si="7">E32+F32+G32</f>
        <v>3.5868055555555556E-2</v>
      </c>
      <c r="I32" s="281">
        <f>I18+G32+F32+E32</f>
        <v>0.42121527777777756</v>
      </c>
      <c r="J32" s="281">
        <f t="shared" ref="J32:J45" si="8">D32-I32</f>
        <v>4.1284722222222403E-2</v>
      </c>
      <c r="K32" s="326">
        <v>4.5138888888888893E-3</v>
      </c>
      <c r="L32" s="330">
        <v>1.7</v>
      </c>
      <c r="M32" s="283">
        <v>0.67083333333333339</v>
      </c>
      <c r="N32" s="330"/>
      <c r="O32" s="304">
        <f t="shared" si="2"/>
        <v>7</v>
      </c>
      <c r="P32" s="309">
        <v>0.30763888888888891</v>
      </c>
      <c r="Q32" s="309"/>
      <c r="R32" s="279">
        <v>3</v>
      </c>
      <c r="S32" s="277">
        <f t="shared" ref="S32:S37" si="9">R32*0.3</f>
        <v>0.89999999999999991</v>
      </c>
      <c r="T32" s="277">
        <f t="shared" ref="T32:T45" si="10">B32-S32</f>
        <v>6.1</v>
      </c>
      <c r="V32" s="341"/>
    </row>
    <row r="33" spans="1:22" x14ac:dyDescent="0.25">
      <c r="A33" s="277">
        <v>97</v>
      </c>
      <c r="B33" s="277">
        <f t="shared" si="3"/>
        <v>7</v>
      </c>
      <c r="C33" s="277">
        <v>16</v>
      </c>
      <c r="D33" s="308">
        <v>0.49847222222222221</v>
      </c>
      <c r="E33" s="278">
        <v>2.6180555555555558E-2</v>
      </c>
      <c r="F33" s="278">
        <v>8.3333333333333332E-3</v>
      </c>
      <c r="G33" s="281">
        <v>2.0833333333333333E-3</v>
      </c>
      <c r="H33" s="315">
        <f t="shared" si="7"/>
        <v>3.6597222222222225E-2</v>
      </c>
      <c r="I33" s="281">
        <f t="shared" ref="I33:I45" si="11">I32+G33+F33+E33</f>
        <v>0.45781249999999979</v>
      </c>
      <c r="J33" s="278">
        <f t="shared" si="8"/>
        <v>4.0659722222222416E-2</v>
      </c>
      <c r="K33" s="326">
        <v>4.5138888888888893E-3</v>
      </c>
      <c r="L33" s="331">
        <v>1.7</v>
      </c>
      <c r="M33" s="280">
        <v>0.70763888888888893</v>
      </c>
      <c r="O33" s="304">
        <f t="shared" si="2"/>
        <v>7</v>
      </c>
      <c r="P33" s="311">
        <v>0.31388888888888888</v>
      </c>
      <c r="Q33" s="309"/>
      <c r="R33" s="277">
        <v>4</v>
      </c>
      <c r="S33" s="277">
        <f t="shared" si="9"/>
        <v>1.2</v>
      </c>
      <c r="T33" s="277">
        <f t="shared" si="10"/>
        <v>5.8</v>
      </c>
    </row>
    <row r="34" spans="1:22" s="279" customFormat="1" x14ac:dyDescent="0.25">
      <c r="A34" s="279">
        <v>103</v>
      </c>
      <c r="B34" s="277">
        <f t="shared" si="3"/>
        <v>6</v>
      </c>
      <c r="C34" s="279" t="s">
        <v>390</v>
      </c>
      <c r="D34" s="306">
        <v>0.52930555555555558</v>
      </c>
      <c r="E34" s="281">
        <v>2.3020833333333334E-2</v>
      </c>
      <c r="F34" s="278">
        <v>6.2499999999999995E-3</v>
      </c>
      <c r="G34" s="281">
        <v>4.1666666666666666E-3</v>
      </c>
      <c r="H34" s="315">
        <f t="shared" si="7"/>
        <v>3.3437500000000002E-2</v>
      </c>
      <c r="I34" s="281">
        <f t="shared" si="11"/>
        <v>0.49124999999999974</v>
      </c>
      <c r="J34" s="281">
        <f t="shared" si="8"/>
        <v>3.8055555555555842E-2</v>
      </c>
      <c r="K34" s="326">
        <v>4.5138888888888893E-3</v>
      </c>
      <c r="L34" s="330">
        <v>1.7</v>
      </c>
      <c r="M34" s="283">
        <v>0.74097222222222225</v>
      </c>
      <c r="N34" s="330"/>
      <c r="O34" s="304">
        <f t="shared" si="2"/>
        <v>6</v>
      </c>
      <c r="P34" s="311">
        <v>0.31388888888888888</v>
      </c>
      <c r="Q34" s="309"/>
      <c r="R34" s="279">
        <v>3</v>
      </c>
      <c r="S34" s="277">
        <f t="shared" si="9"/>
        <v>0.89999999999999991</v>
      </c>
      <c r="T34" s="277">
        <f t="shared" si="10"/>
        <v>5.0999999999999996</v>
      </c>
      <c r="V34" s="341"/>
    </row>
    <row r="35" spans="1:22" s="304" customFormat="1" x14ac:dyDescent="0.25">
      <c r="A35" s="304">
        <v>110</v>
      </c>
      <c r="B35" s="304">
        <f t="shared" si="3"/>
        <v>7</v>
      </c>
      <c r="C35" s="304">
        <v>18</v>
      </c>
      <c r="D35" s="308">
        <v>0.56527777777777777</v>
      </c>
      <c r="E35" s="312">
        <v>2.8599537037037034E-2</v>
      </c>
      <c r="F35" s="312">
        <v>6.2499999999999995E-3</v>
      </c>
      <c r="G35" s="310">
        <v>2.0833333333333333E-3</v>
      </c>
      <c r="H35" s="312">
        <f t="shared" si="7"/>
        <v>3.6932870370370366E-2</v>
      </c>
      <c r="I35" s="312">
        <f t="shared" si="11"/>
        <v>0.52818287037037004</v>
      </c>
      <c r="J35" s="312">
        <f t="shared" si="8"/>
        <v>3.7094907407407729E-2</v>
      </c>
      <c r="K35" s="328">
        <v>4.6874999999999998E-3</v>
      </c>
      <c r="L35" s="333">
        <v>1.7</v>
      </c>
      <c r="M35" s="324">
        <v>0.77777777777777779</v>
      </c>
      <c r="N35" s="333"/>
      <c r="O35" s="304">
        <f t="shared" si="2"/>
        <v>7</v>
      </c>
      <c r="P35" s="311">
        <v>0.31666666666666665</v>
      </c>
      <c r="Q35" s="309"/>
      <c r="R35" s="304">
        <v>3</v>
      </c>
      <c r="S35" s="304">
        <f t="shared" si="9"/>
        <v>0.89999999999999991</v>
      </c>
      <c r="T35" s="304">
        <f t="shared" si="10"/>
        <v>6.1</v>
      </c>
      <c r="V35" s="345"/>
    </row>
    <row r="36" spans="1:22" s="303" customFormat="1" x14ac:dyDescent="0.25">
      <c r="A36" s="303">
        <v>115</v>
      </c>
      <c r="B36" s="304">
        <f t="shared" si="3"/>
        <v>5</v>
      </c>
      <c r="C36" s="303">
        <v>19</v>
      </c>
      <c r="D36" s="306">
        <v>0.59097222222222223</v>
      </c>
      <c r="E36" s="310">
        <v>1.9224537037037037E-2</v>
      </c>
      <c r="F36" s="312">
        <v>6.2499999999999995E-3</v>
      </c>
      <c r="G36" s="310">
        <v>2.0833333333333333E-3</v>
      </c>
      <c r="H36" s="312">
        <f t="shared" si="7"/>
        <v>2.7557870370370368E-2</v>
      </c>
      <c r="I36" s="312">
        <f t="shared" si="11"/>
        <v>0.55574074074074042</v>
      </c>
      <c r="J36" s="310">
        <f t="shared" si="8"/>
        <v>3.5231481481481808E-2</v>
      </c>
      <c r="K36" s="328">
        <v>4.6874999999999998E-3</v>
      </c>
      <c r="L36" s="334">
        <v>1.7</v>
      </c>
      <c r="M36" s="311">
        <v>0.80555555555555547</v>
      </c>
      <c r="N36" s="334"/>
      <c r="O36" s="304">
        <f t="shared" si="2"/>
        <v>5</v>
      </c>
      <c r="P36" s="311">
        <v>0.33055555555555555</v>
      </c>
      <c r="Q36" s="311"/>
      <c r="R36" s="303">
        <v>3</v>
      </c>
      <c r="S36" s="304">
        <f t="shared" si="9"/>
        <v>0.89999999999999991</v>
      </c>
      <c r="T36" s="304">
        <f t="shared" si="10"/>
        <v>4.0999999999999996</v>
      </c>
      <c r="V36" s="346"/>
    </row>
    <row r="37" spans="1:22" s="304" customFormat="1" x14ac:dyDescent="0.25">
      <c r="A37" s="304">
        <v>120</v>
      </c>
      <c r="B37" s="304">
        <f t="shared" si="3"/>
        <v>5</v>
      </c>
      <c r="C37" s="304">
        <v>20</v>
      </c>
      <c r="D37" s="308">
        <v>0.6166666666666667</v>
      </c>
      <c r="E37" s="312">
        <v>2.0625000000000001E-2</v>
      </c>
      <c r="F37" s="312">
        <v>4.1666666666666666E-3</v>
      </c>
      <c r="G37" s="310">
        <v>2.0833333333333333E-3</v>
      </c>
      <c r="H37" s="312">
        <f t="shared" si="7"/>
        <v>2.6875E-2</v>
      </c>
      <c r="I37" s="312">
        <f t="shared" si="11"/>
        <v>0.58261574074074041</v>
      </c>
      <c r="J37" s="312">
        <f t="shared" si="8"/>
        <v>3.405092592592629E-2</v>
      </c>
      <c r="K37" s="328">
        <v>4.6874999999999998E-3</v>
      </c>
      <c r="L37" s="333">
        <v>1.7</v>
      </c>
      <c r="M37" s="324">
        <v>0.83263888888888893</v>
      </c>
      <c r="N37" s="333"/>
      <c r="O37" s="304">
        <f t="shared" si="2"/>
        <v>5</v>
      </c>
      <c r="P37" s="311">
        <v>0.32222222222222224</v>
      </c>
      <c r="Q37" s="309"/>
      <c r="R37" s="304">
        <v>2</v>
      </c>
      <c r="S37" s="304">
        <f t="shared" si="9"/>
        <v>0.6</v>
      </c>
      <c r="T37" s="304">
        <f t="shared" si="10"/>
        <v>4.4000000000000004</v>
      </c>
      <c r="V37" s="345"/>
    </row>
    <row r="38" spans="1:22" s="279" customFormat="1" x14ac:dyDescent="0.25">
      <c r="A38" s="279">
        <v>126</v>
      </c>
      <c r="B38" s="277">
        <f t="shared" si="3"/>
        <v>6</v>
      </c>
      <c r="C38" s="279">
        <v>21</v>
      </c>
      <c r="D38" s="306">
        <v>0.64749999999999996</v>
      </c>
      <c r="E38" s="281">
        <v>2.3333333333333334E-2</v>
      </c>
      <c r="F38" s="278">
        <v>6.2499999999999995E-3</v>
      </c>
      <c r="G38" s="281">
        <v>2.7777777777777779E-3</v>
      </c>
      <c r="H38" s="315">
        <f t="shared" si="7"/>
        <v>3.2361111111111111E-2</v>
      </c>
      <c r="I38" s="281">
        <f t="shared" si="11"/>
        <v>0.61497685185185147</v>
      </c>
      <c r="J38" s="281">
        <f t="shared" si="8"/>
        <v>3.2523148148148495E-2</v>
      </c>
      <c r="K38" s="326">
        <v>4.8611111111111112E-3</v>
      </c>
      <c r="L38" s="330">
        <v>1.7</v>
      </c>
      <c r="M38" s="283">
        <v>0.86458333333333337</v>
      </c>
      <c r="N38" s="330"/>
      <c r="O38" s="304">
        <f t="shared" si="2"/>
        <v>6</v>
      </c>
      <c r="P38" s="311">
        <v>0.3444444444444445</v>
      </c>
      <c r="Q38" s="311"/>
      <c r="R38" s="279">
        <v>3</v>
      </c>
      <c r="S38" s="277">
        <v>0.9</v>
      </c>
      <c r="T38" s="277">
        <f t="shared" si="10"/>
        <v>5.0999999999999996</v>
      </c>
      <c r="V38" s="341"/>
    </row>
    <row r="39" spans="1:22" x14ac:dyDescent="0.25">
      <c r="A39" s="277">
        <v>131</v>
      </c>
      <c r="B39" s="277">
        <f t="shared" si="3"/>
        <v>5</v>
      </c>
      <c r="C39" s="277">
        <v>22</v>
      </c>
      <c r="D39" s="308">
        <v>0.67319444444444443</v>
      </c>
      <c r="E39" s="278">
        <v>1.8472222222222223E-2</v>
      </c>
      <c r="F39" s="278">
        <v>8.3333333333333332E-3</v>
      </c>
      <c r="G39" s="281">
        <v>2.7777777777777779E-3</v>
      </c>
      <c r="H39" s="315">
        <f t="shared" si="7"/>
        <v>2.9583333333333333E-2</v>
      </c>
      <c r="I39" s="281">
        <f t="shared" si="11"/>
        <v>0.64456018518518476</v>
      </c>
      <c r="J39" s="278">
        <f t="shared" si="8"/>
        <v>2.8634259259259665E-2</v>
      </c>
      <c r="K39" s="326">
        <v>4.8611111111111112E-3</v>
      </c>
      <c r="L39" s="331">
        <v>1.6</v>
      </c>
      <c r="M39" s="280">
        <v>0.89444444444444438</v>
      </c>
      <c r="O39" s="304">
        <f t="shared" si="2"/>
        <v>5</v>
      </c>
      <c r="P39" s="311">
        <v>0.35486111111111113</v>
      </c>
      <c r="Q39" s="311"/>
      <c r="R39" s="277">
        <v>3</v>
      </c>
      <c r="S39" s="277">
        <f>R39*0.4</f>
        <v>1.2000000000000002</v>
      </c>
      <c r="T39" s="277">
        <f t="shared" si="10"/>
        <v>3.8</v>
      </c>
    </row>
    <row r="40" spans="1:22" s="279" customFormat="1" x14ac:dyDescent="0.25">
      <c r="A40" s="279">
        <v>137</v>
      </c>
      <c r="B40" s="277">
        <f t="shared" si="3"/>
        <v>6</v>
      </c>
      <c r="C40" s="279">
        <v>23</v>
      </c>
      <c r="D40" s="306">
        <v>0.70402777777777781</v>
      </c>
      <c r="E40" s="281">
        <v>2.3333333333333334E-2</v>
      </c>
      <c r="F40" s="278">
        <v>8.3333333333333332E-3</v>
      </c>
      <c r="G40" s="281">
        <v>2.7777777777777779E-3</v>
      </c>
      <c r="H40" s="315">
        <f t="shared" si="7"/>
        <v>3.4444444444444444E-2</v>
      </c>
      <c r="I40" s="281">
        <f t="shared" si="11"/>
        <v>0.67900462962962915</v>
      </c>
      <c r="J40" s="281">
        <f t="shared" si="8"/>
        <v>2.5023148148148655E-2</v>
      </c>
      <c r="K40" s="326">
        <v>4.8611111111111112E-3</v>
      </c>
      <c r="L40" s="330">
        <v>1.6</v>
      </c>
      <c r="M40" s="283">
        <v>0.92847222222222225</v>
      </c>
      <c r="N40" s="330"/>
      <c r="O40" s="304">
        <f t="shared" si="2"/>
        <v>6</v>
      </c>
      <c r="P40" s="311">
        <v>0.3444444444444445</v>
      </c>
      <c r="Q40" s="311"/>
      <c r="R40" s="279">
        <v>3</v>
      </c>
      <c r="S40" s="277">
        <f>R40*0.4</f>
        <v>1.2000000000000002</v>
      </c>
      <c r="T40" s="277">
        <f t="shared" si="10"/>
        <v>4.8</v>
      </c>
      <c r="V40" s="341"/>
    </row>
    <row r="41" spans="1:22" x14ac:dyDescent="0.25">
      <c r="A41" s="277">
        <v>143</v>
      </c>
      <c r="B41" s="277">
        <f t="shared" si="3"/>
        <v>6</v>
      </c>
      <c r="C41" s="277">
        <v>24</v>
      </c>
      <c r="D41" s="308">
        <v>0.73486111111111108</v>
      </c>
      <c r="E41" s="278">
        <v>2.3333333333333334E-2</v>
      </c>
      <c r="F41" s="278">
        <v>8.3333333333333332E-3</v>
      </c>
      <c r="G41" s="281">
        <v>2.7777777777777779E-3</v>
      </c>
      <c r="H41" s="315">
        <f t="shared" si="7"/>
        <v>3.4444444444444444E-2</v>
      </c>
      <c r="I41" s="281">
        <f t="shared" si="11"/>
        <v>0.71344907407407354</v>
      </c>
      <c r="J41" s="278">
        <f t="shared" si="8"/>
        <v>2.1412037037037535E-2</v>
      </c>
      <c r="K41" s="326">
        <v>4.8611111111111112E-3</v>
      </c>
      <c r="L41" s="331">
        <v>1.6</v>
      </c>
      <c r="M41" s="280">
        <v>0.96319444444444446</v>
      </c>
      <c r="O41" s="304">
        <f t="shared" si="2"/>
        <v>6</v>
      </c>
      <c r="P41" s="311">
        <v>0.3444444444444445</v>
      </c>
      <c r="Q41" s="311"/>
      <c r="R41" s="277">
        <v>3</v>
      </c>
      <c r="S41" s="277">
        <f>R41*0.4</f>
        <v>1.2000000000000002</v>
      </c>
      <c r="T41" s="277">
        <f t="shared" si="10"/>
        <v>4.8</v>
      </c>
    </row>
    <row r="42" spans="1:22" s="303" customFormat="1" x14ac:dyDescent="0.25">
      <c r="A42" s="303">
        <v>149</v>
      </c>
      <c r="B42" s="304">
        <f t="shared" si="3"/>
        <v>6</v>
      </c>
      <c r="C42" s="303">
        <v>25</v>
      </c>
      <c r="D42" s="306">
        <v>0.76569444444444434</v>
      </c>
      <c r="E42" s="310">
        <v>2.4166666666666666E-2</v>
      </c>
      <c r="F42" s="312">
        <v>8.3333333333333332E-3</v>
      </c>
      <c r="G42" s="310">
        <v>3.472222222222222E-3</v>
      </c>
      <c r="H42" s="312">
        <f t="shared" si="7"/>
        <v>3.5972222222222225E-2</v>
      </c>
      <c r="I42" s="310">
        <f t="shared" si="11"/>
        <v>0.74942129629629572</v>
      </c>
      <c r="J42" s="310">
        <f t="shared" si="8"/>
        <v>1.627314814814862E-2</v>
      </c>
      <c r="K42" s="329">
        <v>5.0347222222222225E-3</v>
      </c>
      <c r="L42" s="334">
        <v>1.6</v>
      </c>
      <c r="M42" s="311">
        <v>0.99930555555555556</v>
      </c>
      <c r="N42" s="334"/>
      <c r="O42" s="304">
        <f t="shared" si="2"/>
        <v>6</v>
      </c>
      <c r="P42" s="311">
        <v>0.36527777777777781</v>
      </c>
      <c r="Q42" s="311"/>
      <c r="R42" s="303">
        <v>3</v>
      </c>
      <c r="S42" s="304">
        <f>R42*0.4</f>
        <v>1.2000000000000002</v>
      </c>
      <c r="T42" s="304">
        <f t="shared" si="10"/>
        <v>4.8</v>
      </c>
      <c r="V42" s="346"/>
    </row>
    <row r="43" spans="1:22" s="304" customFormat="1" x14ac:dyDescent="0.25">
      <c r="A43" s="304">
        <v>154</v>
      </c>
      <c r="B43" s="304">
        <f t="shared" si="3"/>
        <v>5</v>
      </c>
      <c r="C43" s="304">
        <v>26</v>
      </c>
      <c r="D43" s="308">
        <v>0.79138888888888881</v>
      </c>
      <c r="E43" s="312">
        <v>2.013888888888889E-2</v>
      </c>
      <c r="F43" s="312">
        <v>6.9444444444444441E-3</v>
      </c>
      <c r="G43" s="310">
        <v>3.472222222222222E-3</v>
      </c>
      <c r="H43" s="312">
        <f t="shared" si="7"/>
        <v>3.0555555555555558E-2</v>
      </c>
      <c r="I43" s="310">
        <f t="shared" si="11"/>
        <v>0.77997685185185128</v>
      </c>
      <c r="J43" s="312">
        <f t="shared" si="8"/>
        <v>1.1412037037037526E-2</v>
      </c>
      <c r="K43" s="329">
        <v>5.0347222222222225E-3</v>
      </c>
      <c r="L43" s="333">
        <v>1.5</v>
      </c>
      <c r="M43" s="324">
        <v>2.9861111111111113E-2</v>
      </c>
      <c r="N43" s="333"/>
      <c r="O43" s="304">
        <f t="shared" si="2"/>
        <v>5</v>
      </c>
      <c r="P43" s="311">
        <v>0.3666666666666667</v>
      </c>
      <c r="Q43" s="311"/>
      <c r="R43" s="304">
        <v>2</v>
      </c>
      <c r="S43" s="304">
        <f>R43*0.5</f>
        <v>1</v>
      </c>
      <c r="T43" s="304">
        <f t="shared" si="10"/>
        <v>4</v>
      </c>
      <c r="V43" s="345"/>
    </row>
    <row r="44" spans="1:22" s="303" customFormat="1" x14ac:dyDescent="0.25">
      <c r="A44" s="303">
        <v>157</v>
      </c>
      <c r="B44" s="304">
        <f t="shared" si="3"/>
        <v>3</v>
      </c>
      <c r="C44" s="303">
        <v>27</v>
      </c>
      <c r="D44" s="306">
        <v>0.80680555555555555</v>
      </c>
      <c r="E44" s="310">
        <v>1.0069444444444445E-2</v>
      </c>
      <c r="F44" s="312">
        <v>6.9444444444444441E-3</v>
      </c>
      <c r="G44" s="310">
        <v>3.472222222222222E-3</v>
      </c>
      <c r="H44" s="312">
        <f t="shared" si="7"/>
        <v>2.0486111111111115E-2</v>
      </c>
      <c r="I44" s="310">
        <f t="shared" si="11"/>
        <v>0.80046296296296238</v>
      </c>
      <c r="J44" s="310">
        <f t="shared" si="8"/>
        <v>6.342592592593177E-3</v>
      </c>
      <c r="K44" s="329">
        <v>5.0347222222222225E-3</v>
      </c>
      <c r="L44" s="334">
        <v>1.5</v>
      </c>
      <c r="M44" s="311">
        <v>4.9999999999999996E-2</v>
      </c>
      <c r="N44" s="334"/>
      <c r="O44" s="304">
        <f t="shared" si="2"/>
        <v>3</v>
      </c>
      <c r="P44" s="311">
        <v>0.40972222222222227</v>
      </c>
      <c r="Q44" s="311"/>
      <c r="R44" s="303">
        <v>2</v>
      </c>
      <c r="S44" s="304">
        <f>R44*0.5</f>
        <v>1</v>
      </c>
      <c r="T44" s="304">
        <f t="shared" si="10"/>
        <v>2</v>
      </c>
      <c r="V44" s="346"/>
    </row>
    <row r="45" spans="1:22" s="279" customFormat="1" ht="15.75" thickBot="1" x14ac:dyDescent="0.3">
      <c r="A45" s="317">
        <v>161</v>
      </c>
      <c r="B45" s="317">
        <v>4</v>
      </c>
      <c r="C45" s="317"/>
      <c r="D45" s="319">
        <v>0.8273611111111111</v>
      </c>
      <c r="E45" s="319">
        <v>1.5104166666666667E-2</v>
      </c>
      <c r="F45" s="320">
        <v>6.9444444444444441E-3</v>
      </c>
      <c r="G45" s="319">
        <v>3.472222222222222E-3</v>
      </c>
      <c r="H45" s="320">
        <f t="shared" si="7"/>
        <v>2.5520833333333333E-2</v>
      </c>
      <c r="I45" s="319">
        <f t="shared" si="11"/>
        <v>0.8259837962962957</v>
      </c>
      <c r="J45" s="319">
        <f t="shared" si="8"/>
        <v>1.3773148148154002E-3</v>
      </c>
      <c r="K45" s="347">
        <v>5.0347222222222225E-3</v>
      </c>
      <c r="L45" s="348">
        <v>1.5</v>
      </c>
      <c r="M45" s="349">
        <v>7.5694444444444439E-2</v>
      </c>
      <c r="N45" s="330"/>
      <c r="O45" s="304">
        <f t="shared" si="2"/>
        <v>4</v>
      </c>
      <c r="P45" s="336">
        <v>0.38263888888888892</v>
      </c>
      <c r="Q45" s="311"/>
      <c r="R45" s="317">
        <v>2</v>
      </c>
      <c r="S45" s="318">
        <f>R45*0.5</f>
        <v>1</v>
      </c>
      <c r="T45" s="318">
        <f t="shared" si="10"/>
        <v>3</v>
      </c>
      <c r="V45" s="341"/>
    </row>
    <row r="46" spans="1:22" x14ac:dyDescent="0.25">
      <c r="D46" s="306">
        <v>0.8273611111111111</v>
      </c>
      <c r="E46" s="316">
        <f>SUM(E5:E45)</f>
        <v>0.61001157407407414</v>
      </c>
      <c r="F46" s="316">
        <f>SUM(F5:F45)</f>
        <v>0.15277777777777779</v>
      </c>
      <c r="G46" s="278">
        <f>SUM(G5:G45)</f>
        <v>6.3194444444444428E-2</v>
      </c>
      <c r="H46" s="316">
        <f>SUM(H5:H45)</f>
        <v>0.82598379629629615</v>
      </c>
      <c r="I46" s="316">
        <f>E46+F46+G46</f>
        <v>0.82598379629629637</v>
      </c>
      <c r="P46" s="314">
        <f>AVERAGE(P5:P45)</f>
        <v>0.3088541666666666</v>
      </c>
      <c r="R46" s="303">
        <f>SUM(R3:R45)</f>
        <v>72</v>
      </c>
      <c r="S46" s="303">
        <f>SUM(S3:S45)</f>
        <v>22</v>
      </c>
      <c r="T46" s="303">
        <f>SUM(T3:T45)</f>
        <v>138.99999999999997</v>
      </c>
    </row>
    <row r="47" spans="1:22" x14ac:dyDescent="0.25">
      <c r="R47" s="304"/>
      <c r="S47" s="304"/>
      <c r="T47" s="304"/>
    </row>
    <row r="48" spans="1:22" x14ac:dyDescent="0.25">
      <c r="D48" s="303"/>
      <c r="E48" s="303"/>
      <c r="F48" s="285"/>
      <c r="I48" s="279"/>
      <c r="J48" s="279"/>
      <c r="K48" s="326"/>
    </row>
    <row r="49" spans="4:11" x14ac:dyDescent="0.25">
      <c r="D49" s="279"/>
      <c r="E49" s="335"/>
      <c r="F49" s="285"/>
      <c r="H49" s="312"/>
    </row>
    <row r="50" spans="4:11" x14ac:dyDescent="0.25">
      <c r="D50" s="303"/>
      <c r="E50" s="310"/>
      <c r="F50" s="285"/>
      <c r="H50" s="312"/>
    </row>
    <row r="51" spans="4:11" x14ac:dyDescent="0.25">
      <c r="D51" s="279"/>
      <c r="E51" s="321"/>
      <c r="F51" s="285"/>
      <c r="I51" s="303"/>
      <c r="J51" s="303"/>
      <c r="K51" s="329"/>
    </row>
    <row r="52" spans="4:11" x14ac:dyDescent="0.25">
      <c r="D52" s="303"/>
      <c r="E52" s="303"/>
      <c r="F52" s="285"/>
    </row>
    <row r="53" spans="4:11" x14ac:dyDescent="0.25">
      <c r="D53" s="279"/>
      <c r="E53" s="321"/>
      <c r="F53" s="285"/>
      <c r="I53" s="279"/>
      <c r="J53" s="279"/>
      <c r="K53" s="326"/>
    </row>
    <row r="54" spans="4:11" x14ac:dyDescent="0.25">
      <c r="D54" s="303"/>
      <c r="E54" s="303"/>
      <c r="F54" s="285"/>
      <c r="I54" s="303"/>
      <c r="J54" s="303"/>
      <c r="K54" s="329"/>
    </row>
    <row r="56" spans="4:11" x14ac:dyDescent="0.25">
      <c r="I56" s="280"/>
      <c r="J56" s="280"/>
    </row>
    <row r="57" spans="4:11" x14ac:dyDescent="0.25">
      <c r="J57" s="280"/>
    </row>
  </sheetData>
  <printOptions gridLines="1"/>
  <pageMargins left="0" right="0" top="0.74803149606299213" bottom="0.55118110236220474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zoomScaleNormal="100" workbookViewId="0">
      <selection activeCell="Q43" sqref="Q43"/>
    </sheetView>
  </sheetViews>
  <sheetFormatPr defaultColWidth="9.140625" defaultRowHeight="15" x14ac:dyDescent="0.25"/>
  <cols>
    <col min="1" max="1" width="6.28515625" style="277" bestFit="1" customWidth="1"/>
    <col min="2" max="2" width="7.85546875" style="277" bestFit="1" customWidth="1"/>
    <col min="3" max="3" width="6.28515625" style="277" bestFit="1" customWidth="1"/>
    <col min="4" max="6" width="8.7109375" style="277" customWidth="1"/>
    <col min="7" max="7" width="8.7109375" style="278" customWidth="1"/>
    <col min="8" max="10" width="8.7109375" style="277" customWidth="1"/>
    <col min="11" max="11" width="7.7109375" style="327" customWidth="1"/>
    <col min="12" max="12" width="4.5703125" style="331" bestFit="1" customWidth="1"/>
    <col min="13" max="13" width="5.5703125" style="277" bestFit="1" customWidth="1"/>
    <col min="14" max="16" width="8.7109375" style="368" customWidth="1"/>
    <col min="17" max="17" width="8.7109375" style="372" customWidth="1"/>
    <col min="18" max="23" width="8.7109375" style="277" customWidth="1"/>
    <col min="24" max="24" width="9.140625" style="277"/>
    <col min="25" max="25" width="15" style="342" customWidth="1"/>
    <col min="26" max="16384" width="9.140625" style="277"/>
  </cols>
  <sheetData>
    <row r="1" spans="1:26" s="279" customFormat="1" x14ac:dyDescent="0.25">
      <c r="A1" s="337" t="s">
        <v>371</v>
      </c>
      <c r="B1" s="338">
        <v>43323</v>
      </c>
      <c r="C1" s="339"/>
      <c r="D1" s="339" t="s">
        <v>380</v>
      </c>
      <c r="E1" s="339"/>
      <c r="F1" s="340">
        <v>0.30833333333333335</v>
      </c>
      <c r="G1" s="281"/>
      <c r="H1" s="279" t="s">
        <v>72</v>
      </c>
      <c r="L1" s="279" t="s">
        <v>19</v>
      </c>
      <c r="N1" s="367"/>
      <c r="O1" s="367"/>
      <c r="P1" s="367"/>
      <c r="Q1" s="371"/>
      <c r="Y1" s="341"/>
    </row>
    <row r="2" spans="1:26" s="279" customFormat="1" x14ac:dyDescent="0.25">
      <c r="D2" s="305" t="s">
        <v>386</v>
      </c>
      <c r="E2" s="279" t="s">
        <v>19</v>
      </c>
      <c r="F2" s="279" t="s">
        <v>329</v>
      </c>
      <c r="G2" s="281" t="s">
        <v>381</v>
      </c>
      <c r="H2" s="279" t="s">
        <v>387</v>
      </c>
      <c r="I2" s="279" t="s">
        <v>72</v>
      </c>
      <c r="J2" s="279" t="s">
        <v>5</v>
      </c>
      <c r="K2" s="326" t="s">
        <v>7</v>
      </c>
      <c r="L2" s="330" t="s">
        <v>451</v>
      </c>
      <c r="M2" s="279" t="s">
        <v>449</v>
      </c>
      <c r="N2" s="367" t="s">
        <v>4</v>
      </c>
      <c r="O2" s="367" t="s">
        <v>5</v>
      </c>
      <c r="P2" s="367" t="s">
        <v>7</v>
      </c>
      <c r="Q2" s="371" t="s">
        <v>169</v>
      </c>
      <c r="S2" s="279" t="s">
        <v>382</v>
      </c>
      <c r="U2" s="279" t="s">
        <v>329</v>
      </c>
      <c r="V2" s="279" t="s">
        <v>329</v>
      </c>
      <c r="W2" s="279" t="s">
        <v>19</v>
      </c>
      <c r="Y2" s="341"/>
    </row>
    <row r="3" spans="1:26" x14ac:dyDescent="0.25">
      <c r="A3" s="279"/>
      <c r="B3" s="279" t="s">
        <v>100</v>
      </c>
      <c r="D3" s="307">
        <v>0.30833333333333335</v>
      </c>
      <c r="H3" s="279" t="s">
        <v>381</v>
      </c>
      <c r="L3" s="330" t="s">
        <v>450</v>
      </c>
      <c r="M3" s="279" t="s">
        <v>385</v>
      </c>
      <c r="N3" s="367"/>
      <c r="O3" s="367"/>
      <c r="P3" s="367"/>
      <c r="Q3" s="371"/>
      <c r="S3" s="279" t="s">
        <v>7</v>
      </c>
      <c r="U3" s="279" t="s">
        <v>384</v>
      </c>
      <c r="V3" s="279" t="s">
        <v>100</v>
      </c>
      <c r="W3" s="279" t="s">
        <v>100</v>
      </c>
      <c r="Y3" s="342" t="s">
        <v>391</v>
      </c>
    </row>
    <row r="4" spans="1:26" x14ac:dyDescent="0.25">
      <c r="A4" s="279" t="s">
        <v>100</v>
      </c>
      <c r="B4" s="279" t="s">
        <v>383</v>
      </c>
      <c r="C4" s="279" t="s">
        <v>325</v>
      </c>
      <c r="L4" s="330"/>
      <c r="M4" s="280">
        <v>0.25</v>
      </c>
      <c r="N4" s="368">
        <v>0.25</v>
      </c>
      <c r="O4" s="368">
        <f>N4-M4</f>
        <v>0</v>
      </c>
      <c r="U4" s="304"/>
      <c r="V4" s="304"/>
      <c r="W4" s="304"/>
    </row>
    <row r="5" spans="1:26" s="361" customFormat="1" x14ac:dyDescent="0.25">
      <c r="A5" s="361">
        <v>9</v>
      </c>
      <c r="B5" s="361">
        <f>A5</f>
        <v>9</v>
      </c>
      <c r="C5" s="361">
        <v>1</v>
      </c>
      <c r="D5" s="313">
        <v>4.6250000000000006E-2</v>
      </c>
      <c r="E5" s="313">
        <v>3.4374999999999996E-2</v>
      </c>
      <c r="F5" s="313">
        <v>0</v>
      </c>
      <c r="G5" s="313">
        <v>1.3888888888888889E-3</v>
      </c>
      <c r="H5" s="315">
        <f t="shared" ref="H5:H18" si="0">E5+F5+G5</f>
        <v>3.5763888888888887E-2</v>
      </c>
      <c r="I5" s="313">
        <f>E5+G5</f>
        <v>3.5763888888888887E-2</v>
      </c>
      <c r="J5" s="313">
        <f t="shared" ref="J5:J18" si="1">D5-I5</f>
        <v>1.048611111111112E-2</v>
      </c>
      <c r="K5" s="325">
        <v>3.8194444444444443E-3</v>
      </c>
      <c r="L5" s="362">
        <v>9</v>
      </c>
      <c r="M5" s="314">
        <v>0.28611111111111115</v>
      </c>
      <c r="N5" s="367">
        <v>0.28472222222222221</v>
      </c>
      <c r="O5" s="368">
        <f t="shared" ref="O5:O18" si="2">M5-N5</f>
        <v>1.3888888888889395E-3</v>
      </c>
      <c r="P5" s="368">
        <v>0.24444444444444446</v>
      </c>
      <c r="Q5" s="372">
        <v>32</v>
      </c>
      <c r="R5" s="304">
        <f t="shared" ref="R5:R44" si="3">V5+W5</f>
        <v>9</v>
      </c>
      <c r="S5" s="309"/>
      <c r="W5" s="361">
        <v>9</v>
      </c>
      <c r="Y5" s="343" t="s">
        <v>392</v>
      </c>
      <c r="Z5" s="195" t="s">
        <v>397</v>
      </c>
    </row>
    <row r="6" spans="1:26" s="195" customFormat="1" x14ac:dyDescent="0.25">
      <c r="A6" s="195">
        <v>13</v>
      </c>
      <c r="B6" s="195">
        <f>A6-B5</f>
        <v>4</v>
      </c>
      <c r="C6" s="195">
        <v>2</v>
      </c>
      <c r="D6" s="315">
        <v>6.6805555555555562E-2</v>
      </c>
      <c r="E6" s="315">
        <v>1.5277777777777777E-2</v>
      </c>
      <c r="F6" s="313">
        <v>0</v>
      </c>
      <c r="G6" s="313">
        <v>1.3888888888888889E-3</v>
      </c>
      <c r="H6" s="315">
        <f t="shared" si="0"/>
        <v>1.6666666666666666E-2</v>
      </c>
      <c r="I6" s="315">
        <f>I5+E6+F6+G6</f>
        <v>5.2430555555555557E-2</v>
      </c>
      <c r="J6" s="315">
        <f t="shared" si="1"/>
        <v>1.4375000000000006E-2</v>
      </c>
      <c r="K6" s="325">
        <v>3.8194444444444443E-3</v>
      </c>
      <c r="L6" s="332">
        <v>4</v>
      </c>
      <c r="M6" s="323">
        <v>0.30208333333333331</v>
      </c>
      <c r="N6" s="368">
        <v>0.30208333333333331</v>
      </c>
      <c r="O6" s="368">
        <f t="shared" si="2"/>
        <v>0</v>
      </c>
      <c r="P6" s="368">
        <v>0.21944444444444444</v>
      </c>
      <c r="Q6" s="372">
        <v>31</v>
      </c>
      <c r="R6" s="304">
        <f t="shared" si="3"/>
        <v>4</v>
      </c>
      <c r="S6" s="309"/>
      <c r="W6" s="195">
        <v>4</v>
      </c>
      <c r="Y6" s="343" t="s">
        <v>393</v>
      </c>
      <c r="Z6" s="195" t="s">
        <v>397</v>
      </c>
    </row>
    <row r="7" spans="1:26" s="361" customFormat="1" x14ac:dyDescent="0.25">
      <c r="A7" s="361">
        <v>19</v>
      </c>
      <c r="B7" s="195">
        <f t="shared" ref="B7:B43" si="4">A7-A6</f>
        <v>6</v>
      </c>
      <c r="C7" s="361">
        <v>3</v>
      </c>
      <c r="D7" s="313">
        <v>9.7638888888888886E-2</v>
      </c>
      <c r="E7" s="313">
        <v>2.2916666666666669E-2</v>
      </c>
      <c r="F7" s="313">
        <v>0</v>
      </c>
      <c r="G7" s="313">
        <v>1.3888888888888889E-3</v>
      </c>
      <c r="H7" s="315">
        <f t="shared" si="0"/>
        <v>2.4305555555555556E-2</v>
      </c>
      <c r="I7" s="315">
        <f>I6+E7+F7+G7</f>
        <v>7.6736111111111116E-2</v>
      </c>
      <c r="J7" s="313">
        <f t="shared" si="1"/>
        <v>2.090277777777777E-2</v>
      </c>
      <c r="K7" s="325">
        <v>3.8194444444444443E-3</v>
      </c>
      <c r="L7" s="362">
        <v>6</v>
      </c>
      <c r="M7" s="314">
        <v>0.3263888888888889</v>
      </c>
      <c r="N7" s="367">
        <v>0.3263888888888889</v>
      </c>
      <c r="O7" s="368">
        <f t="shared" si="2"/>
        <v>0</v>
      </c>
      <c r="P7" s="368">
        <v>0.24513888888888888</v>
      </c>
      <c r="Q7" s="372">
        <v>33</v>
      </c>
      <c r="R7" s="304">
        <f t="shared" si="3"/>
        <v>6</v>
      </c>
      <c r="S7" s="309"/>
      <c r="W7" s="361">
        <v>6</v>
      </c>
      <c r="Y7" s="343" t="s">
        <v>394</v>
      </c>
      <c r="Z7" s="195" t="s">
        <v>397</v>
      </c>
    </row>
    <row r="8" spans="1:26" s="304" customFormat="1" x14ac:dyDescent="0.25">
      <c r="A8" s="304">
        <v>25</v>
      </c>
      <c r="B8" s="304">
        <f t="shared" si="4"/>
        <v>6</v>
      </c>
      <c r="C8" s="304">
        <v>4</v>
      </c>
      <c r="D8" s="312">
        <v>0.12847222222222224</v>
      </c>
      <c r="E8" s="312">
        <v>2.3958333333333331E-2</v>
      </c>
      <c r="F8" s="312">
        <v>0</v>
      </c>
      <c r="G8" s="310">
        <v>1.3888888888888889E-3</v>
      </c>
      <c r="H8" s="312">
        <f t="shared" si="0"/>
        <v>2.5347222222222219E-2</v>
      </c>
      <c r="I8" s="312">
        <f t="shared" ref="I8:I18" si="5">I7+G8+F8+E8</f>
        <v>0.10208333333333333</v>
      </c>
      <c r="J8" s="312">
        <f t="shared" si="1"/>
        <v>2.6388888888888906E-2</v>
      </c>
      <c r="K8" s="328">
        <v>3.9930555555555561E-3</v>
      </c>
      <c r="L8" s="333">
        <v>6</v>
      </c>
      <c r="M8" s="324">
        <v>0.3520833333333333</v>
      </c>
      <c r="N8" s="368">
        <v>0.34861111111111115</v>
      </c>
      <c r="O8" s="368">
        <f t="shared" si="2"/>
        <v>3.4722222222221544E-3</v>
      </c>
      <c r="P8" s="368">
        <v>0.23263888888888887</v>
      </c>
      <c r="Q8" s="372">
        <v>32</v>
      </c>
      <c r="R8" s="304">
        <f t="shared" si="3"/>
        <v>6</v>
      </c>
      <c r="S8" s="309"/>
      <c r="W8" s="304">
        <v>6</v>
      </c>
      <c r="Y8" s="343" t="s">
        <v>395</v>
      </c>
      <c r="Z8" s="195" t="s">
        <v>401</v>
      </c>
    </row>
    <row r="9" spans="1:26" s="303" customFormat="1" x14ac:dyDescent="0.25">
      <c r="A9" s="303">
        <v>31</v>
      </c>
      <c r="B9" s="304">
        <f t="shared" si="4"/>
        <v>6</v>
      </c>
      <c r="C9" s="303">
        <v>5</v>
      </c>
      <c r="D9" s="310">
        <v>0.15930555555555556</v>
      </c>
      <c r="E9" s="310">
        <v>2.1562499999999998E-2</v>
      </c>
      <c r="F9" s="312">
        <v>4.1666666666666666E-3</v>
      </c>
      <c r="G9" s="310">
        <v>1.3888888888888889E-3</v>
      </c>
      <c r="H9" s="312">
        <f t="shared" si="0"/>
        <v>2.7118055555555552E-2</v>
      </c>
      <c r="I9" s="312">
        <f t="shared" si="5"/>
        <v>0.12920138888888888</v>
      </c>
      <c r="J9" s="310">
        <f t="shared" si="1"/>
        <v>3.0104166666666682E-2</v>
      </c>
      <c r="K9" s="328">
        <v>3.9930555555555561E-3</v>
      </c>
      <c r="L9" s="333">
        <v>1.8</v>
      </c>
      <c r="M9" s="311">
        <v>0.37916666666666665</v>
      </c>
      <c r="N9" s="368">
        <v>0.38680555555555557</v>
      </c>
      <c r="O9" s="368">
        <f t="shared" si="2"/>
        <v>-7.6388888888889173E-3</v>
      </c>
      <c r="P9" s="368">
        <v>0.24305555555555555</v>
      </c>
      <c r="Q9" s="372">
        <v>31</v>
      </c>
      <c r="R9" s="304">
        <f t="shared" si="3"/>
        <v>6</v>
      </c>
      <c r="S9" s="309"/>
      <c r="U9" s="303">
        <v>3</v>
      </c>
      <c r="V9" s="304">
        <f t="shared" ref="V9:V14" si="6">U9*0.2</f>
        <v>0.60000000000000009</v>
      </c>
      <c r="W9" s="304">
        <f t="shared" ref="W9:W18" si="7">B9-V9</f>
        <v>5.4</v>
      </c>
      <c r="Y9" s="343" t="s">
        <v>396</v>
      </c>
      <c r="Z9" s="195"/>
    </row>
    <row r="10" spans="1:26" s="304" customFormat="1" x14ac:dyDescent="0.25">
      <c r="A10" s="304">
        <v>39</v>
      </c>
      <c r="B10" s="304">
        <f t="shared" si="4"/>
        <v>8</v>
      </c>
      <c r="C10" s="304">
        <v>6</v>
      </c>
      <c r="D10" s="312">
        <v>0.20041666666666669</v>
      </c>
      <c r="E10" s="312">
        <v>2.8749999999999998E-2</v>
      </c>
      <c r="F10" s="312">
        <v>5.5555555555555558E-3</v>
      </c>
      <c r="G10" s="310">
        <v>1.3888888888888889E-3</v>
      </c>
      <c r="H10" s="312">
        <f t="shared" si="0"/>
        <v>3.5694444444444445E-2</v>
      </c>
      <c r="I10" s="312">
        <f t="shared" si="5"/>
        <v>0.16489583333333332</v>
      </c>
      <c r="J10" s="312">
        <f t="shared" si="1"/>
        <v>3.5520833333333363E-2</v>
      </c>
      <c r="K10" s="328">
        <v>3.9930555555555561E-3</v>
      </c>
      <c r="L10" s="333">
        <v>1.8</v>
      </c>
      <c r="M10" s="324">
        <v>0.4145833333333333</v>
      </c>
      <c r="N10" s="368">
        <v>0.40833333333333338</v>
      </c>
      <c r="O10" s="368">
        <f t="shared" si="2"/>
        <v>6.2499999999999223E-3</v>
      </c>
      <c r="P10" s="368">
        <v>0.2902777777777778</v>
      </c>
      <c r="Q10" s="372">
        <v>33</v>
      </c>
      <c r="R10" s="304">
        <f t="shared" si="3"/>
        <v>8</v>
      </c>
      <c r="S10" s="309"/>
      <c r="U10" s="304">
        <v>4</v>
      </c>
      <c r="V10" s="304">
        <f t="shared" si="6"/>
        <v>0.8</v>
      </c>
      <c r="W10" s="304">
        <f t="shared" si="7"/>
        <v>7.2</v>
      </c>
      <c r="Y10" s="344" t="s">
        <v>398</v>
      </c>
      <c r="Z10" s="195"/>
    </row>
    <row r="11" spans="1:26" s="303" customFormat="1" x14ac:dyDescent="0.25">
      <c r="A11" s="303">
        <v>47</v>
      </c>
      <c r="B11" s="304">
        <f t="shared" si="4"/>
        <v>8</v>
      </c>
      <c r="C11" s="303">
        <v>7</v>
      </c>
      <c r="D11" s="310">
        <v>0.24152777777777779</v>
      </c>
      <c r="E11" s="310">
        <v>2.8749999999999998E-2</v>
      </c>
      <c r="F11" s="312">
        <v>5.5555555555555558E-3</v>
      </c>
      <c r="G11" s="310">
        <v>1.3888888888888889E-3</v>
      </c>
      <c r="H11" s="312">
        <f t="shared" si="0"/>
        <v>3.5694444444444445E-2</v>
      </c>
      <c r="I11" s="312">
        <f t="shared" si="5"/>
        <v>0.20059027777777777</v>
      </c>
      <c r="J11" s="310">
        <f t="shared" si="1"/>
        <v>4.0937500000000016E-2</v>
      </c>
      <c r="K11" s="328">
        <v>3.9930555555555561E-3</v>
      </c>
      <c r="L11" s="333">
        <v>1.8</v>
      </c>
      <c r="M11" s="311">
        <v>0.45069444444444445</v>
      </c>
      <c r="N11" s="368">
        <v>0.43958333333333338</v>
      </c>
      <c r="O11" s="368">
        <f t="shared" si="2"/>
        <v>1.1111111111111072E-2</v>
      </c>
      <c r="P11" s="368">
        <v>0.24444444444444446</v>
      </c>
      <c r="Q11" s="372">
        <v>32</v>
      </c>
      <c r="R11" s="304">
        <f t="shared" si="3"/>
        <v>8</v>
      </c>
      <c r="S11" s="309"/>
      <c r="U11" s="303">
        <v>4</v>
      </c>
      <c r="V11" s="304">
        <f t="shared" si="6"/>
        <v>0.8</v>
      </c>
      <c r="W11" s="304">
        <f t="shared" si="7"/>
        <v>7.2</v>
      </c>
      <c r="Y11" s="343" t="s">
        <v>402</v>
      </c>
      <c r="Z11" s="195"/>
    </row>
    <row r="12" spans="1:26" x14ac:dyDescent="0.25">
      <c r="A12" s="277">
        <v>53</v>
      </c>
      <c r="B12" s="277">
        <f t="shared" si="4"/>
        <v>6</v>
      </c>
      <c r="C12" s="277">
        <v>8</v>
      </c>
      <c r="D12" s="315">
        <v>0.27236111111111111</v>
      </c>
      <c r="E12" s="278">
        <v>2.2499999999999996E-2</v>
      </c>
      <c r="F12" s="278">
        <v>4.1666666666666666E-3</v>
      </c>
      <c r="G12" s="281">
        <v>1.3888888888888889E-3</v>
      </c>
      <c r="H12" s="315">
        <f t="shared" si="0"/>
        <v>2.8055555555555549E-2</v>
      </c>
      <c r="I12" s="278">
        <f t="shared" si="5"/>
        <v>0.22864583333333333</v>
      </c>
      <c r="J12" s="278">
        <f t="shared" si="1"/>
        <v>4.3715277777777783E-2</v>
      </c>
      <c r="K12" s="327">
        <v>4.1666666666666666E-3</v>
      </c>
      <c r="L12" s="331">
        <v>1.8</v>
      </c>
      <c r="M12" s="280">
        <v>0.47847222222222219</v>
      </c>
      <c r="N12" s="368">
        <v>0.46666666666666662</v>
      </c>
      <c r="O12" s="368">
        <f t="shared" si="2"/>
        <v>1.1805555555555569E-2</v>
      </c>
      <c r="P12" s="368">
        <v>0.26041666666666669</v>
      </c>
      <c r="Q12" s="372">
        <v>34</v>
      </c>
      <c r="R12" s="304">
        <f t="shared" si="3"/>
        <v>6</v>
      </c>
      <c r="S12" s="309"/>
      <c r="U12" s="277">
        <v>3</v>
      </c>
      <c r="V12" s="277">
        <f t="shared" si="6"/>
        <v>0.60000000000000009</v>
      </c>
      <c r="W12" s="277">
        <f t="shared" si="7"/>
        <v>5.4</v>
      </c>
      <c r="Y12" s="344" t="s">
        <v>403</v>
      </c>
      <c r="Z12" s="195"/>
    </row>
    <row r="13" spans="1:26" s="279" customFormat="1" x14ac:dyDescent="0.25">
      <c r="A13" s="279">
        <v>59</v>
      </c>
      <c r="B13" s="277">
        <f t="shared" si="4"/>
        <v>6</v>
      </c>
      <c r="C13" s="279" t="s">
        <v>444</v>
      </c>
      <c r="D13" s="313">
        <v>0.30319444444444443</v>
      </c>
      <c r="E13" s="281">
        <v>2.2499999999999996E-2</v>
      </c>
      <c r="F13" s="278">
        <v>4.1666666666666666E-3</v>
      </c>
      <c r="G13" s="281">
        <v>4.8611111111111112E-3</v>
      </c>
      <c r="H13" s="315">
        <f t="shared" si="0"/>
        <v>3.1527777777777773E-2</v>
      </c>
      <c r="I13" s="278">
        <f t="shared" si="5"/>
        <v>0.26017361111111115</v>
      </c>
      <c r="J13" s="281">
        <f t="shared" si="1"/>
        <v>4.3020833333333286E-2</v>
      </c>
      <c r="K13" s="327">
        <v>4.1666666666666666E-3</v>
      </c>
      <c r="L13" s="330">
        <v>1.8</v>
      </c>
      <c r="M13" s="283">
        <v>0.51041666666666663</v>
      </c>
      <c r="N13" s="367">
        <v>0.50277777777777777</v>
      </c>
      <c r="O13" s="368">
        <f t="shared" si="2"/>
        <v>7.6388888888888618E-3</v>
      </c>
      <c r="P13" s="368">
        <v>0.32847222222222222</v>
      </c>
      <c r="Q13" s="372">
        <v>43</v>
      </c>
      <c r="R13" s="304">
        <f t="shared" si="3"/>
        <v>6</v>
      </c>
      <c r="S13" s="309"/>
      <c r="U13" s="279">
        <v>3</v>
      </c>
      <c r="V13" s="277">
        <f t="shared" si="6"/>
        <v>0.60000000000000009</v>
      </c>
      <c r="W13" s="277">
        <f t="shared" si="7"/>
        <v>5.4</v>
      </c>
      <c r="Y13" s="341" t="s">
        <v>447</v>
      </c>
      <c r="Z13" s="279" t="s">
        <v>448</v>
      </c>
    </row>
    <row r="14" spans="1:26" x14ac:dyDescent="0.25">
      <c r="A14" s="277">
        <v>65</v>
      </c>
      <c r="B14" s="277">
        <f t="shared" si="4"/>
        <v>6</v>
      </c>
      <c r="C14" s="277">
        <v>10</v>
      </c>
      <c r="D14" s="315">
        <v>0.33402777777777781</v>
      </c>
      <c r="E14" s="278">
        <v>2.2499999999999996E-2</v>
      </c>
      <c r="F14" s="278">
        <v>4.1666666666666666E-3</v>
      </c>
      <c r="G14" s="281">
        <v>1.3888888888888889E-3</v>
      </c>
      <c r="H14" s="315">
        <f t="shared" si="0"/>
        <v>2.8055555555555549E-2</v>
      </c>
      <c r="I14" s="278">
        <f t="shared" si="5"/>
        <v>0.2882291666666667</v>
      </c>
      <c r="J14" s="278">
        <f t="shared" si="1"/>
        <v>4.5798611111111109E-2</v>
      </c>
      <c r="K14" s="327">
        <v>4.1666666666666666E-3</v>
      </c>
      <c r="L14" s="331">
        <v>1.8</v>
      </c>
      <c r="M14" s="280">
        <v>0.53819444444444442</v>
      </c>
      <c r="N14" s="368">
        <v>0.53055555555555556</v>
      </c>
      <c r="O14" s="368">
        <f t="shared" si="2"/>
        <v>7.6388888888888618E-3</v>
      </c>
      <c r="P14" s="368">
        <v>0.27152777777777776</v>
      </c>
      <c r="Q14" s="372">
        <v>42</v>
      </c>
      <c r="R14" s="304">
        <f t="shared" si="3"/>
        <v>6</v>
      </c>
      <c r="S14" s="309"/>
      <c r="U14" s="277">
        <v>3</v>
      </c>
      <c r="V14" s="277">
        <f t="shared" si="6"/>
        <v>0.60000000000000009</v>
      </c>
      <c r="W14" s="277">
        <f t="shared" si="7"/>
        <v>5.4</v>
      </c>
    </row>
    <row r="15" spans="1:26" s="303" customFormat="1" x14ac:dyDescent="0.25">
      <c r="A15" s="303">
        <v>72</v>
      </c>
      <c r="B15" s="304">
        <f t="shared" si="4"/>
        <v>7</v>
      </c>
      <c r="C15" s="303">
        <v>11</v>
      </c>
      <c r="D15" s="310">
        <v>0.37000000000000005</v>
      </c>
      <c r="E15" s="310">
        <v>2.6481481481481481E-2</v>
      </c>
      <c r="F15" s="312">
        <v>6.2499999999999995E-3</v>
      </c>
      <c r="G15" s="310">
        <v>1.3888888888888889E-3</v>
      </c>
      <c r="H15" s="312">
        <f t="shared" si="0"/>
        <v>3.412037037037037E-2</v>
      </c>
      <c r="I15" s="310">
        <f t="shared" si="5"/>
        <v>0.32234953703703706</v>
      </c>
      <c r="J15" s="310">
        <f t="shared" si="1"/>
        <v>4.7650462962962992E-2</v>
      </c>
      <c r="K15" s="329">
        <v>4.340277777777778E-3</v>
      </c>
      <c r="L15" s="334">
        <v>1.7</v>
      </c>
      <c r="M15" s="311">
        <v>0.57222222222222219</v>
      </c>
      <c r="N15" s="367">
        <v>0.56458333333333333</v>
      </c>
      <c r="O15" s="368">
        <f t="shared" si="2"/>
        <v>7.6388888888888618E-3</v>
      </c>
      <c r="P15" s="368">
        <v>0.2986111111111111</v>
      </c>
      <c r="Q15" s="372">
        <v>42</v>
      </c>
      <c r="R15" s="304">
        <f t="shared" si="3"/>
        <v>7</v>
      </c>
      <c r="S15" s="309"/>
      <c r="U15" s="303">
        <v>3</v>
      </c>
      <c r="V15" s="304">
        <f>U15*0.3</f>
        <v>0.89999999999999991</v>
      </c>
      <c r="W15" s="304">
        <f t="shared" si="7"/>
        <v>6.1</v>
      </c>
      <c r="Y15" s="346"/>
    </row>
    <row r="16" spans="1:26" s="304" customFormat="1" x14ac:dyDescent="0.25">
      <c r="A16" s="304">
        <v>79</v>
      </c>
      <c r="B16" s="304">
        <f t="shared" si="4"/>
        <v>7</v>
      </c>
      <c r="C16" s="304">
        <v>12</v>
      </c>
      <c r="D16" s="312">
        <v>0.40597222222222223</v>
      </c>
      <c r="E16" s="312">
        <v>2.6481481481481481E-2</v>
      </c>
      <c r="F16" s="312">
        <v>6.2499999999999995E-3</v>
      </c>
      <c r="G16" s="310">
        <v>1.3888888888888889E-3</v>
      </c>
      <c r="H16" s="312">
        <f t="shared" si="0"/>
        <v>3.412037037037037E-2</v>
      </c>
      <c r="I16" s="310">
        <f t="shared" si="5"/>
        <v>0.35646990740740742</v>
      </c>
      <c r="J16" s="312">
        <f t="shared" si="1"/>
        <v>4.9502314814814818E-2</v>
      </c>
      <c r="K16" s="329">
        <v>4.340277777777778E-3</v>
      </c>
      <c r="L16" s="333">
        <v>1.7</v>
      </c>
      <c r="M16" s="324">
        <v>0.60625000000000007</v>
      </c>
      <c r="N16" s="368">
        <v>0.59930555555555554</v>
      </c>
      <c r="O16" s="368">
        <f t="shared" si="2"/>
        <v>6.9444444444445308E-3</v>
      </c>
      <c r="P16" s="368">
        <v>0.30763888888888891</v>
      </c>
      <c r="Q16" s="372">
        <v>43</v>
      </c>
      <c r="R16" s="304">
        <f t="shared" si="3"/>
        <v>7</v>
      </c>
      <c r="S16" s="309"/>
      <c r="U16" s="304">
        <v>3</v>
      </c>
      <c r="V16" s="304">
        <f>U16*0.3</f>
        <v>0.89999999999999991</v>
      </c>
      <c r="W16" s="304">
        <f t="shared" si="7"/>
        <v>6.1</v>
      </c>
      <c r="Y16" s="345"/>
    </row>
    <row r="17" spans="1:25" s="303" customFormat="1" x14ac:dyDescent="0.25">
      <c r="A17" s="303">
        <v>85</v>
      </c>
      <c r="B17" s="304">
        <f t="shared" si="4"/>
        <v>6</v>
      </c>
      <c r="C17" s="303">
        <v>13</v>
      </c>
      <c r="D17" s="310">
        <v>0.4368055555555555</v>
      </c>
      <c r="E17" s="310">
        <v>2.2141203703703705E-2</v>
      </c>
      <c r="F17" s="312">
        <v>6.2499999999999995E-3</v>
      </c>
      <c r="G17" s="310">
        <v>1.3888888888888889E-3</v>
      </c>
      <c r="H17" s="312">
        <f t="shared" si="0"/>
        <v>2.9780092592592591E-2</v>
      </c>
      <c r="I17" s="310">
        <f t="shared" si="5"/>
        <v>0.38624999999999998</v>
      </c>
      <c r="J17" s="310">
        <f t="shared" si="1"/>
        <v>5.055555555555552E-2</v>
      </c>
      <c r="K17" s="329">
        <v>4.340277777777778E-3</v>
      </c>
      <c r="L17" s="334">
        <v>1.7</v>
      </c>
      <c r="M17" s="311">
        <v>0.63611111111111118</v>
      </c>
      <c r="N17" s="367">
        <v>0.63055555555555554</v>
      </c>
      <c r="O17" s="368">
        <f t="shared" si="2"/>
        <v>5.5555555555556468E-3</v>
      </c>
      <c r="P17" s="368">
        <v>0.3215277777777778</v>
      </c>
      <c r="Q17" s="372">
        <v>41</v>
      </c>
      <c r="R17" s="304">
        <f t="shared" si="3"/>
        <v>6</v>
      </c>
      <c r="S17" s="309"/>
      <c r="U17" s="303">
        <v>3</v>
      </c>
      <c r="V17" s="304">
        <f>U17*0.3</f>
        <v>0.89999999999999991</v>
      </c>
      <c r="W17" s="304">
        <f t="shared" si="7"/>
        <v>5.0999999999999996</v>
      </c>
      <c r="Y17" s="346"/>
    </row>
    <row r="18" spans="1:25" s="304" customFormat="1" x14ac:dyDescent="0.25">
      <c r="A18" s="304">
        <v>91</v>
      </c>
      <c r="B18" s="304">
        <f t="shared" si="4"/>
        <v>6</v>
      </c>
      <c r="C18" s="304" t="s">
        <v>445</v>
      </c>
      <c r="D18" s="312">
        <v>0.46763888888888888</v>
      </c>
      <c r="E18" s="312">
        <v>2.2141203703703705E-2</v>
      </c>
      <c r="F18" s="312">
        <v>6.2499999999999995E-3</v>
      </c>
      <c r="G18" s="310">
        <v>6.9444444444444441E-3</v>
      </c>
      <c r="H18" s="312">
        <f t="shared" si="0"/>
        <v>3.5335648148148144E-2</v>
      </c>
      <c r="I18" s="310">
        <f t="shared" si="5"/>
        <v>0.42158564814814808</v>
      </c>
      <c r="J18" s="312">
        <f t="shared" si="1"/>
        <v>4.6053240740740797E-2</v>
      </c>
      <c r="K18" s="329">
        <v>4.340277777777778E-3</v>
      </c>
      <c r="L18" s="333">
        <v>1.7</v>
      </c>
      <c r="M18" s="324">
        <v>0.67152777777777783</v>
      </c>
      <c r="N18" s="368">
        <v>0.66597222222222219</v>
      </c>
      <c r="O18" s="368">
        <f t="shared" si="2"/>
        <v>5.5555555555556468E-3</v>
      </c>
      <c r="P18" s="368">
        <v>0.33888888888888885</v>
      </c>
      <c r="Q18" s="372">
        <v>40</v>
      </c>
      <c r="R18" s="304">
        <f t="shared" si="3"/>
        <v>6</v>
      </c>
      <c r="S18" s="309"/>
      <c r="U18" s="304">
        <v>3</v>
      </c>
      <c r="V18" s="304">
        <f>U18*0.3</f>
        <v>0.89999999999999991</v>
      </c>
      <c r="W18" s="304">
        <f t="shared" si="7"/>
        <v>5.0999999999999996</v>
      </c>
      <c r="Y18" s="345"/>
    </row>
    <row r="19" spans="1:25" s="304" customFormat="1" x14ac:dyDescent="0.25">
      <c r="D19" s="364"/>
      <c r="E19" s="312"/>
      <c r="F19" s="312"/>
      <c r="G19" s="310"/>
      <c r="H19" s="312"/>
      <c r="I19" s="310"/>
      <c r="J19" s="312"/>
      <c r="K19" s="329"/>
      <c r="L19" s="333"/>
      <c r="M19" s="324"/>
      <c r="N19" s="368"/>
      <c r="O19" s="368"/>
      <c r="P19" s="368"/>
      <c r="Q19" s="372"/>
      <c r="S19" s="309"/>
      <c r="Y19" s="345"/>
    </row>
    <row r="20" spans="1:25" s="304" customFormat="1" x14ac:dyDescent="0.25">
      <c r="D20" s="308"/>
      <c r="E20" s="312"/>
      <c r="F20" s="312"/>
      <c r="G20" s="310"/>
      <c r="H20" s="312"/>
      <c r="I20" s="310"/>
      <c r="J20" s="312"/>
      <c r="K20" s="329"/>
      <c r="L20" s="333"/>
      <c r="M20" s="324"/>
      <c r="N20" s="368"/>
      <c r="O20" s="368"/>
      <c r="P20" s="368"/>
      <c r="Q20" s="372"/>
      <c r="S20" s="309"/>
      <c r="Y20" s="345"/>
    </row>
    <row r="21" spans="1:25" s="304" customFormat="1" x14ac:dyDescent="0.25">
      <c r="D21" s="308"/>
      <c r="E21" s="312"/>
      <c r="F21" s="312"/>
      <c r="G21" s="310"/>
      <c r="H21" s="312"/>
      <c r="I21" s="310"/>
      <c r="J21" s="312"/>
      <c r="K21" s="329"/>
      <c r="L21" s="333"/>
      <c r="M21" s="324"/>
      <c r="N21" s="368"/>
      <c r="O21" s="368"/>
      <c r="P21" s="368"/>
      <c r="Q21" s="372"/>
      <c r="S21" s="309"/>
      <c r="Y21" s="345"/>
    </row>
    <row r="22" spans="1:25" s="304" customFormat="1" x14ac:dyDescent="0.25">
      <c r="D22" s="308"/>
      <c r="E22" s="312"/>
      <c r="F22" s="312"/>
      <c r="G22" s="310"/>
      <c r="H22" s="312"/>
      <c r="I22" s="310"/>
      <c r="J22" s="312"/>
      <c r="K22" s="329"/>
      <c r="L22" s="333"/>
      <c r="M22" s="324"/>
      <c r="N22" s="368"/>
      <c r="O22" s="368"/>
      <c r="P22" s="368"/>
      <c r="Q22" s="372"/>
      <c r="S22" s="309"/>
      <c r="Y22" s="345"/>
    </row>
    <row r="23" spans="1:25" s="304" customFormat="1" x14ac:dyDescent="0.25">
      <c r="D23" s="308"/>
      <c r="E23" s="312"/>
      <c r="F23" s="312"/>
      <c r="G23" s="310"/>
      <c r="H23" s="312"/>
      <c r="I23" s="310"/>
      <c r="J23" s="312"/>
      <c r="K23" s="329"/>
      <c r="L23" s="333"/>
      <c r="M23" s="324"/>
      <c r="N23" s="368"/>
      <c r="O23" s="368"/>
      <c r="P23" s="368"/>
      <c r="Q23" s="372"/>
      <c r="S23" s="309"/>
      <c r="Y23" s="345"/>
    </row>
    <row r="24" spans="1:25" s="304" customFormat="1" x14ac:dyDescent="0.25">
      <c r="D24" s="308"/>
      <c r="E24" s="312"/>
      <c r="F24" s="312"/>
      <c r="G24" s="310"/>
      <c r="H24" s="312"/>
      <c r="I24" s="310"/>
      <c r="J24" s="312"/>
      <c r="K24" s="329"/>
      <c r="L24" s="333"/>
      <c r="M24" s="324"/>
      <c r="N24" s="368"/>
      <c r="O24" s="368"/>
      <c r="P24" s="368"/>
      <c r="Q24" s="372"/>
      <c r="S24" s="309"/>
      <c r="Y24" s="345"/>
    </row>
    <row r="25" spans="1:25" s="304" customFormat="1" x14ac:dyDescent="0.25">
      <c r="D25" s="308"/>
      <c r="E25" s="312"/>
      <c r="F25" s="312"/>
      <c r="G25" s="310"/>
      <c r="H25" s="312"/>
      <c r="I25" s="310"/>
      <c r="J25" s="312"/>
      <c r="K25" s="329"/>
      <c r="L25" s="333"/>
      <c r="M25" s="324"/>
      <c r="N25" s="368"/>
      <c r="O25" s="368"/>
      <c r="P25" s="368"/>
      <c r="Q25" s="372"/>
      <c r="S25" s="309"/>
      <c r="Y25" s="345"/>
    </row>
    <row r="26" spans="1:25" s="304" customFormat="1" x14ac:dyDescent="0.25">
      <c r="D26" s="308"/>
      <c r="E26" s="312"/>
      <c r="F26" s="312"/>
      <c r="G26" s="310"/>
      <c r="H26" s="312"/>
      <c r="I26" s="310"/>
      <c r="J26" s="312"/>
      <c r="K26" s="329"/>
      <c r="L26" s="333"/>
      <c r="M26" s="324"/>
      <c r="N26" s="368"/>
      <c r="O26" s="368"/>
      <c r="P26" s="368"/>
      <c r="Q26" s="372"/>
      <c r="S26" s="309"/>
      <c r="Y26" s="345"/>
    </row>
    <row r="27" spans="1:25" s="304" customFormat="1" x14ac:dyDescent="0.25">
      <c r="D27" s="308"/>
      <c r="E27" s="312"/>
      <c r="F27" s="312"/>
      <c r="G27" s="310"/>
      <c r="H27" s="312"/>
      <c r="I27" s="310"/>
      <c r="J27" s="312"/>
      <c r="K27" s="329"/>
      <c r="L27" s="333"/>
      <c r="M27" s="324"/>
      <c r="N27" s="368"/>
      <c r="O27" s="368"/>
      <c r="P27" s="368"/>
      <c r="Q27" s="372"/>
      <c r="S27" s="309"/>
      <c r="Y27" s="345"/>
    </row>
    <row r="28" spans="1:25" s="304" customFormat="1" x14ac:dyDescent="0.25">
      <c r="D28" s="308"/>
      <c r="E28" s="312"/>
      <c r="F28" s="312"/>
      <c r="G28" s="310"/>
      <c r="H28" s="279" t="s">
        <v>72</v>
      </c>
      <c r="I28" s="310"/>
      <c r="J28" s="312"/>
      <c r="K28" s="329"/>
      <c r="L28" s="333"/>
      <c r="M28" s="324"/>
      <c r="N28" s="368"/>
      <c r="O28" s="368"/>
      <c r="P28" s="368"/>
      <c r="Q28" s="372"/>
      <c r="S28" s="309"/>
      <c r="Y28" s="345"/>
    </row>
    <row r="29" spans="1:25" s="304" customFormat="1" x14ac:dyDescent="0.25">
      <c r="A29" s="279"/>
      <c r="B29" s="279"/>
      <c r="C29" s="279"/>
      <c r="D29" s="305" t="s">
        <v>386</v>
      </c>
      <c r="E29" s="279" t="s">
        <v>19</v>
      </c>
      <c r="F29" s="279" t="s">
        <v>329</v>
      </c>
      <c r="G29" s="281" t="s">
        <v>381</v>
      </c>
      <c r="H29" s="279" t="s">
        <v>387</v>
      </c>
      <c r="I29" s="279" t="s">
        <v>72</v>
      </c>
      <c r="J29" s="279" t="s">
        <v>5</v>
      </c>
      <c r="K29" s="326" t="s">
        <v>7</v>
      </c>
      <c r="L29" s="330" t="s">
        <v>19</v>
      </c>
      <c r="M29" s="279" t="s">
        <v>385</v>
      </c>
      <c r="N29" s="368"/>
      <c r="O29" s="368"/>
      <c r="P29" s="368"/>
      <c r="Q29" s="372"/>
      <c r="S29" s="309"/>
      <c r="Y29" s="345"/>
    </row>
    <row r="30" spans="1:25" s="304" customFormat="1" x14ac:dyDescent="0.25">
      <c r="A30" s="279"/>
      <c r="B30" s="279" t="s">
        <v>100</v>
      </c>
      <c r="C30" s="277"/>
      <c r="D30" s="307">
        <v>0.30833333333333335</v>
      </c>
      <c r="E30" s="277"/>
      <c r="F30" s="277"/>
      <c r="G30" s="278"/>
      <c r="H30" s="279" t="s">
        <v>381</v>
      </c>
      <c r="I30" s="277"/>
      <c r="J30" s="277"/>
      <c r="K30" s="327"/>
      <c r="L30" s="330" t="s">
        <v>100</v>
      </c>
      <c r="M30" s="277"/>
      <c r="N30" s="368"/>
      <c r="O30" s="368"/>
      <c r="P30" s="368"/>
      <c r="Q30" s="372"/>
      <c r="S30" s="309"/>
      <c r="Y30" s="345"/>
    </row>
    <row r="31" spans="1:25" s="304" customFormat="1" x14ac:dyDescent="0.25">
      <c r="A31" s="279" t="s">
        <v>100</v>
      </c>
      <c r="B31" s="279" t="s">
        <v>383</v>
      </c>
      <c r="C31" s="279" t="s">
        <v>325</v>
      </c>
      <c r="D31" s="308"/>
      <c r="E31" s="312"/>
      <c r="F31" s="312"/>
      <c r="G31" s="310"/>
      <c r="H31" s="312"/>
      <c r="I31" s="310"/>
      <c r="J31" s="312"/>
      <c r="K31" s="329"/>
      <c r="L31" s="333"/>
      <c r="M31" s="324"/>
      <c r="N31" s="368"/>
      <c r="O31" s="368"/>
      <c r="P31" s="368"/>
      <c r="Q31" s="372"/>
      <c r="S31" s="309"/>
      <c r="Y31" s="345"/>
    </row>
    <row r="32" spans="1:25" s="279" customFormat="1" x14ac:dyDescent="0.25">
      <c r="A32" s="279">
        <v>99</v>
      </c>
      <c r="B32" s="277">
        <f>A32-A18</f>
        <v>8</v>
      </c>
      <c r="C32" s="279">
        <v>15</v>
      </c>
      <c r="D32" s="313">
        <v>0.50875000000000004</v>
      </c>
      <c r="E32" s="281">
        <v>3.0694444444444444E-2</v>
      </c>
      <c r="F32" s="278">
        <v>6.2499999999999995E-3</v>
      </c>
      <c r="G32" s="281">
        <v>2.0833333333333333E-3</v>
      </c>
      <c r="H32" s="315">
        <f t="shared" ref="H32:H44" si="8">E32+F32+G32</f>
        <v>3.9027777777777779E-2</v>
      </c>
      <c r="I32" s="281">
        <f>I18+G32+F32+E32</f>
        <v>0.46061342592592586</v>
      </c>
      <c r="J32" s="281">
        <f t="shared" ref="J32:J44" si="9">D32-I32</f>
        <v>4.8136574074074179E-2</v>
      </c>
      <c r="K32" s="326">
        <v>4.5138888888888893E-3</v>
      </c>
      <c r="L32" s="330">
        <v>1.7</v>
      </c>
      <c r="M32" s="283">
        <v>0.7104166666666667</v>
      </c>
      <c r="N32" s="367">
        <v>0.70277777777777783</v>
      </c>
      <c r="O32" s="368">
        <f t="shared" ref="O32:O44" si="10">M32-N32</f>
        <v>7.6388888888888618E-3</v>
      </c>
      <c r="P32" s="368">
        <v>0.29236111111111113</v>
      </c>
      <c r="Q32" s="372">
        <v>37</v>
      </c>
      <c r="R32" s="304">
        <f t="shared" si="3"/>
        <v>8</v>
      </c>
      <c r="S32" s="309"/>
      <c r="T32" s="309"/>
      <c r="U32" s="279">
        <v>4</v>
      </c>
      <c r="V32" s="277">
        <f t="shared" ref="V32:V37" si="11">U32*0.3</f>
        <v>1.2</v>
      </c>
      <c r="W32" s="277">
        <f t="shared" ref="W32:W44" si="12">B32-V32</f>
        <v>6.8</v>
      </c>
      <c r="Y32" s="341"/>
    </row>
    <row r="33" spans="1:25" x14ac:dyDescent="0.25">
      <c r="A33" s="277">
        <v>104</v>
      </c>
      <c r="B33" s="277">
        <f t="shared" si="4"/>
        <v>5</v>
      </c>
      <c r="C33" s="277">
        <v>16</v>
      </c>
      <c r="D33" s="315">
        <v>0.53444444444444439</v>
      </c>
      <c r="E33" s="278">
        <v>1.9861111111111111E-2</v>
      </c>
      <c r="F33" s="278">
        <v>8.3333333333333332E-3</v>
      </c>
      <c r="G33" s="281">
        <v>2.0833333333333333E-3</v>
      </c>
      <c r="H33" s="315">
        <f t="shared" si="8"/>
        <v>3.0277777777777778E-2</v>
      </c>
      <c r="I33" s="281">
        <f t="shared" ref="I33:I44" si="13">I32+G33+F33+E33</f>
        <v>0.49089120370370365</v>
      </c>
      <c r="J33" s="278">
        <f t="shared" si="9"/>
        <v>4.355324074074074E-2</v>
      </c>
      <c r="K33" s="326">
        <v>4.5138888888888893E-3</v>
      </c>
      <c r="L33" s="331">
        <v>1.7</v>
      </c>
      <c r="M33" s="280">
        <v>0.74097222222222225</v>
      </c>
      <c r="N33" s="368">
        <v>0.72777777777777775</v>
      </c>
      <c r="O33" s="368">
        <f t="shared" si="10"/>
        <v>1.3194444444444509E-2</v>
      </c>
      <c r="P33" s="368">
        <v>0.3034722222222222</v>
      </c>
      <c r="Q33" s="372">
        <v>32</v>
      </c>
      <c r="R33" s="304">
        <f t="shared" si="3"/>
        <v>5</v>
      </c>
      <c r="S33" s="309"/>
      <c r="T33" s="309"/>
      <c r="U33" s="277">
        <v>2</v>
      </c>
      <c r="V33" s="277">
        <f t="shared" si="11"/>
        <v>0.6</v>
      </c>
      <c r="W33" s="277">
        <f t="shared" si="12"/>
        <v>4.4000000000000004</v>
      </c>
    </row>
    <row r="34" spans="1:25" s="279" customFormat="1" x14ac:dyDescent="0.25">
      <c r="A34" s="279">
        <v>110</v>
      </c>
      <c r="B34" s="277">
        <f t="shared" si="4"/>
        <v>6</v>
      </c>
      <c r="C34" s="279">
        <v>17</v>
      </c>
      <c r="D34" s="313">
        <v>0.56527777777777777</v>
      </c>
      <c r="E34" s="281">
        <v>2.3020833333333334E-2</v>
      </c>
      <c r="F34" s="278">
        <v>6.2499999999999995E-3</v>
      </c>
      <c r="G34" s="281">
        <v>2.0833333333333333E-3</v>
      </c>
      <c r="H34" s="315">
        <f t="shared" si="8"/>
        <v>3.1354166666666669E-2</v>
      </c>
      <c r="I34" s="281">
        <f t="shared" si="13"/>
        <v>0.52224537037037033</v>
      </c>
      <c r="J34" s="281">
        <f t="shared" si="9"/>
        <v>4.3032407407407436E-2</v>
      </c>
      <c r="K34" s="326">
        <v>4.5138888888888893E-3</v>
      </c>
      <c r="L34" s="330">
        <v>1.7</v>
      </c>
      <c r="M34" s="283">
        <v>0.77222222222222225</v>
      </c>
      <c r="N34" s="367">
        <v>0.7597222222222223</v>
      </c>
      <c r="O34" s="368">
        <f t="shared" si="10"/>
        <v>1.2499999999999956E-2</v>
      </c>
      <c r="P34" s="368">
        <v>0.29722222222222222</v>
      </c>
      <c r="Q34" s="372">
        <v>30</v>
      </c>
      <c r="R34" s="304">
        <f t="shared" si="3"/>
        <v>6</v>
      </c>
      <c r="S34" s="309"/>
      <c r="T34" s="309"/>
      <c r="U34" s="279">
        <v>3</v>
      </c>
      <c r="V34" s="277">
        <f t="shared" si="11"/>
        <v>0.89999999999999991</v>
      </c>
      <c r="W34" s="277">
        <f t="shared" si="12"/>
        <v>5.0999999999999996</v>
      </c>
      <c r="Y34" s="341"/>
    </row>
    <row r="35" spans="1:25" s="304" customFormat="1" x14ac:dyDescent="0.25">
      <c r="A35" s="304">
        <v>116</v>
      </c>
      <c r="B35" s="304">
        <f t="shared" si="4"/>
        <v>6</v>
      </c>
      <c r="C35" s="304">
        <v>18</v>
      </c>
      <c r="D35" s="312">
        <v>0.59611111111111115</v>
      </c>
      <c r="E35" s="312">
        <v>2.3912037037037034E-2</v>
      </c>
      <c r="F35" s="312">
        <v>6.2499999999999995E-3</v>
      </c>
      <c r="G35" s="310">
        <v>2.0833333333333333E-3</v>
      </c>
      <c r="H35" s="312">
        <f t="shared" si="8"/>
        <v>3.2245370370370369E-2</v>
      </c>
      <c r="I35" s="312">
        <f t="shared" si="13"/>
        <v>0.55449074074074067</v>
      </c>
      <c r="J35" s="312">
        <f t="shared" si="9"/>
        <v>4.1620370370370474E-2</v>
      </c>
      <c r="K35" s="328">
        <v>4.6874999999999998E-3</v>
      </c>
      <c r="L35" s="333">
        <v>1.7</v>
      </c>
      <c r="M35" s="324">
        <v>0.8041666666666667</v>
      </c>
      <c r="N35" s="368">
        <v>0.78888888888888886</v>
      </c>
      <c r="O35" s="368">
        <f t="shared" si="10"/>
        <v>1.5277777777777835E-2</v>
      </c>
      <c r="P35" s="368">
        <v>0.30277777777777776</v>
      </c>
      <c r="Q35" s="372">
        <v>29</v>
      </c>
      <c r="R35" s="304">
        <f t="shared" si="3"/>
        <v>6</v>
      </c>
      <c r="S35" s="309"/>
      <c r="T35" s="309"/>
      <c r="U35" s="304">
        <v>3</v>
      </c>
      <c r="V35" s="304">
        <f t="shared" si="11"/>
        <v>0.89999999999999991</v>
      </c>
      <c r="W35" s="304">
        <f t="shared" si="12"/>
        <v>5.0999999999999996</v>
      </c>
      <c r="Y35" s="345"/>
    </row>
    <row r="36" spans="1:25" s="303" customFormat="1" x14ac:dyDescent="0.25">
      <c r="A36" s="303">
        <v>124</v>
      </c>
      <c r="B36" s="304">
        <f t="shared" si="4"/>
        <v>8</v>
      </c>
      <c r="C36" s="303">
        <v>19</v>
      </c>
      <c r="D36" s="310">
        <v>0.63722222222222225</v>
      </c>
      <c r="E36" s="310">
        <v>3.1875000000000001E-2</v>
      </c>
      <c r="F36" s="312">
        <v>6.2499999999999995E-3</v>
      </c>
      <c r="G36" s="310">
        <v>2.0833333333333333E-3</v>
      </c>
      <c r="H36" s="312">
        <f t="shared" si="8"/>
        <v>4.0208333333333332E-2</v>
      </c>
      <c r="I36" s="312">
        <f t="shared" si="13"/>
        <v>0.59469907407407396</v>
      </c>
      <c r="J36" s="310">
        <f t="shared" si="9"/>
        <v>4.2523148148148282E-2</v>
      </c>
      <c r="K36" s="328">
        <v>4.6874999999999998E-3</v>
      </c>
      <c r="L36" s="334">
        <v>1.7</v>
      </c>
      <c r="M36" s="311">
        <v>0.84444444444444444</v>
      </c>
      <c r="N36" s="367">
        <v>0.82847222222222217</v>
      </c>
      <c r="O36" s="368">
        <f t="shared" si="10"/>
        <v>1.5972222222222276E-2</v>
      </c>
      <c r="P36" s="368">
        <v>0.3215277777777778</v>
      </c>
      <c r="Q36" s="372">
        <v>28</v>
      </c>
      <c r="R36" s="304">
        <f t="shared" si="3"/>
        <v>8</v>
      </c>
      <c r="S36" s="309"/>
      <c r="T36" s="311"/>
      <c r="U36" s="303">
        <v>4</v>
      </c>
      <c r="V36" s="304">
        <f t="shared" si="11"/>
        <v>1.2</v>
      </c>
      <c r="W36" s="304">
        <f t="shared" si="12"/>
        <v>6.8</v>
      </c>
      <c r="Y36" s="346"/>
    </row>
    <row r="37" spans="1:25" s="304" customFormat="1" x14ac:dyDescent="0.25">
      <c r="A37" s="304">
        <v>128</v>
      </c>
      <c r="B37" s="304">
        <f t="shared" si="4"/>
        <v>4</v>
      </c>
      <c r="C37" s="304" t="s">
        <v>446</v>
      </c>
      <c r="D37" s="312">
        <v>0.65777777777777779</v>
      </c>
      <c r="E37" s="312">
        <v>1.59375E-2</v>
      </c>
      <c r="F37" s="312">
        <v>4.1666666666666666E-3</v>
      </c>
      <c r="G37" s="310">
        <v>6.9444444444444441E-3</v>
      </c>
      <c r="H37" s="312">
        <f t="shared" si="8"/>
        <v>2.704861111111111E-2</v>
      </c>
      <c r="I37" s="312">
        <f t="shared" si="13"/>
        <v>0.62174768518518508</v>
      </c>
      <c r="J37" s="312">
        <f t="shared" si="9"/>
        <v>3.6030092592592711E-2</v>
      </c>
      <c r="K37" s="328">
        <v>4.6874999999999998E-3</v>
      </c>
      <c r="L37" s="333">
        <v>1.7</v>
      </c>
      <c r="M37" s="324">
        <v>0.87152777777777779</v>
      </c>
      <c r="N37" s="368">
        <v>0.85277777777777775</v>
      </c>
      <c r="O37" s="368">
        <f t="shared" si="10"/>
        <v>1.8750000000000044E-2</v>
      </c>
      <c r="P37" s="368">
        <v>0.30624999999999997</v>
      </c>
      <c r="Q37" s="372">
        <v>28</v>
      </c>
      <c r="R37" s="304">
        <f t="shared" si="3"/>
        <v>4</v>
      </c>
      <c r="S37" s="309"/>
      <c r="T37" s="309"/>
      <c r="U37" s="304">
        <v>2</v>
      </c>
      <c r="V37" s="304">
        <f t="shared" si="11"/>
        <v>0.6</v>
      </c>
      <c r="W37" s="304">
        <f t="shared" si="12"/>
        <v>3.4</v>
      </c>
      <c r="Y37" s="345"/>
    </row>
    <row r="38" spans="1:25" s="279" customFormat="1" x14ac:dyDescent="0.25">
      <c r="A38" s="279">
        <v>132</v>
      </c>
      <c r="B38" s="277">
        <f t="shared" si="4"/>
        <v>4</v>
      </c>
      <c r="C38" s="279">
        <v>21</v>
      </c>
      <c r="D38" s="313">
        <v>0.67833333333333334</v>
      </c>
      <c r="E38" s="281">
        <v>1.5555555555555553E-2</v>
      </c>
      <c r="F38" s="278">
        <v>6.2499999999999995E-3</v>
      </c>
      <c r="G38" s="281">
        <v>2.7777777777777779E-3</v>
      </c>
      <c r="H38" s="315">
        <f t="shared" si="8"/>
        <v>2.4583333333333332E-2</v>
      </c>
      <c r="I38" s="281">
        <f t="shared" si="13"/>
        <v>0.64633101851851837</v>
      </c>
      <c r="J38" s="281">
        <f t="shared" si="9"/>
        <v>3.2002314814814969E-2</v>
      </c>
      <c r="K38" s="326">
        <v>4.8611111111111112E-3</v>
      </c>
      <c r="L38" s="330">
        <v>1.7</v>
      </c>
      <c r="M38" s="283">
        <v>0.8965277777777777</v>
      </c>
      <c r="N38" s="367">
        <v>0.87847222222222221</v>
      </c>
      <c r="O38" s="368">
        <f t="shared" si="10"/>
        <v>1.8055555555555491E-2</v>
      </c>
      <c r="P38" s="368">
        <v>0.3743055555555555</v>
      </c>
      <c r="Q38" s="372">
        <v>26</v>
      </c>
      <c r="R38" s="304">
        <f t="shared" si="3"/>
        <v>4</v>
      </c>
      <c r="S38" s="309"/>
      <c r="T38" s="311"/>
      <c r="U38" s="279">
        <v>2</v>
      </c>
      <c r="V38" s="277">
        <f>U38*0.4</f>
        <v>0.8</v>
      </c>
      <c r="W38" s="277">
        <f t="shared" si="12"/>
        <v>3.2</v>
      </c>
      <c r="Y38" s="341"/>
    </row>
    <row r="39" spans="1:25" x14ac:dyDescent="0.25">
      <c r="A39" s="277">
        <v>139</v>
      </c>
      <c r="B39" s="277">
        <f t="shared" si="4"/>
        <v>7</v>
      </c>
      <c r="C39" s="277">
        <v>22</v>
      </c>
      <c r="D39" s="315">
        <v>0.71430555555555564</v>
      </c>
      <c r="E39" s="278">
        <v>2.8194444444444442E-2</v>
      </c>
      <c r="F39" s="278">
        <v>8.3333333333333332E-3</v>
      </c>
      <c r="G39" s="281">
        <v>2.7777777777777779E-3</v>
      </c>
      <c r="H39" s="315">
        <f t="shared" si="8"/>
        <v>3.9305555555555552E-2</v>
      </c>
      <c r="I39" s="281">
        <f t="shared" si="13"/>
        <v>0.68563657407407386</v>
      </c>
      <c r="J39" s="278">
        <f t="shared" si="9"/>
        <v>2.8668981481481781E-2</v>
      </c>
      <c r="K39" s="326">
        <v>4.8611111111111112E-3</v>
      </c>
      <c r="L39" s="331">
        <v>1.6</v>
      </c>
      <c r="M39" s="280">
        <v>0.93541666666666667</v>
      </c>
      <c r="N39" s="368">
        <v>0.91180555555555554</v>
      </c>
      <c r="O39" s="368">
        <f t="shared" si="10"/>
        <v>2.3611111111111138E-2</v>
      </c>
      <c r="P39" s="368">
        <v>0.31527777777777777</v>
      </c>
      <c r="Q39" s="372">
        <v>26</v>
      </c>
      <c r="R39" s="304">
        <f t="shared" si="3"/>
        <v>7</v>
      </c>
      <c r="S39" s="309"/>
      <c r="T39" s="311"/>
      <c r="U39" s="277">
        <v>3</v>
      </c>
      <c r="V39" s="277">
        <f>U39*0.4</f>
        <v>1.2000000000000002</v>
      </c>
      <c r="W39" s="277">
        <f t="shared" si="12"/>
        <v>5.8</v>
      </c>
    </row>
    <row r="40" spans="1:25" s="279" customFormat="1" x14ac:dyDescent="0.25">
      <c r="A40" s="279">
        <v>143</v>
      </c>
      <c r="B40" s="277">
        <f t="shared" si="4"/>
        <v>4</v>
      </c>
      <c r="C40" s="279">
        <v>23</v>
      </c>
      <c r="D40" s="313">
        <v>0.73486111111111108</v>
      </c>
      <c r="E40" s="281">
        <v>1.5555555555555553E-2</v>
      </c>
      <c r="F40" s="278">
        <v>8.3333333333333332E-3</v>
      </c>
      <c r="G40" s="281">
        <v>2.7777777777777779E-3</v>
      </c>
      <c r="H40" s="315">
        <f t="shared" si="8"/>
        <v>2.6666666666666665E-2</v>
      </c>
      <c r="I40" s="281">
        <f t="shared" si="13"/>
        <v>0.71230324074074047</v>
      </c>
      <c r="J40" s="281">
        <f t="shared" si="9"/>
        <v>2.2557870370370603E-2</v>
      </c>
      <c r="K40" s="326">
        <v>4.8611111111111112E-3</v>
      </c>
      <c r="L40" s="330">
        <v>1.6</v>
      </c>
      <c r="M40" s="283">
        <v>0.96250000000000002</v>
      </c>
      <c r="N40" s="367">
        <v>0.93958333333333333</v>
      </c>
      <c r="O40" s="368">
        <f t="shared" si="10"/>
        <v>2.2916666666666696E-2</v>
      </c>
      <c r="P40" s="368">
        <v>0.36458333333333331</v>
      </c>
      <c r="Q40" s="372">
        <v>27</v>
      </c>
      <c r="R40" s="304">
        <f t="shared" si="3"/>
        <v>4</v>
      </c>
      <c r="S40" s="309"/>
      <c r="T40" s="311"/>
      <c r="U40" s="279">
        <v>2</v>
      </c>
      <c r="V40" s="277">
        <f>U40*0.4</f>
        <v>0.8</v>
      </c>
      <c r="W40" s="277">
        <f t="shared" si="12"/>
        <v>3.2</v>
      </c>
      <c r="Y40" s="341"/>
    </row>
    <row r="41" spans="1:25" x14ac:dyDescent="0.25">
      <c r="A41" s="277">
        <v>149</v>
      </c>
      <c r="B41" s="277">
        <f t="shared" si="4"/>
        <v>6</v>
      </c>
      <c r="C41" s="277">
        <v>24</v>
      </c>
      <c r="D41" s="315">
        <v>0.76569444444444434</v>
      </c>
      <c r="E41" s="278">
        <v>2.3333333333333334E-2</v>
      </c>
      <c r="F41" s="278">
        <v>8.3333333333333332E-3</v>
      </c>
      <c r="G41" s="281">
        <v>2.7777777777777779E-3</v>
      </c>
      <c r="H41" s="315">
        <f t="shared" si="8"/>
        <v>3.4444444444444444E-2</v>
      </c>
      <c r="I41" s="281">
        <f t="shared" si="13"/>
        <v>0.74674768518518486</v>
      </c>
      <c r="J41" s="278">
        <f t="shared" si="9"/>
        <v>1.8946759259259482E-2</v>
      </c>
      <c r="K41" s="326">
        <v>4.8611111111111112E-3</v>
      </c>
      <c r="L41" s="331">
        <v>1.6</v>
      </c>
      <c r="M41" s="280">
        <v>0.99652777777777779</v>
      </c>
      <c r="N41" s="368">
        <v>0.97013888888888899</v>
      </c>
      <c r="O41" s="368">
        <f t="shared" si="10"/>
        <v>2.6388888888888795E-2</v>
      </c>
      <c r="P41" s="368">
        <v>0.35069444444444442</v>
      </c>
      <c r="Q41" s="372">
        <v>27</v>
      </c>
      <c r="R41" s="304">
        <f t="shared" si="3"/>
        <v>6</v>
      </c>
      <c r="S41" s="309"/>
      <c r="T41" s="311"/>
      <c r="U41" s="277">
        <v>3</v>
      </c>
      <c r="V41" s="277">
        <f>U41*0.4</f>
        <v>1.2000000000000002</v>
      </c>
      <c r="W41" s="277">
        <f t="shared" si="12"/>
        <v>4.8</v>
      </c>
    </row>
    <row r="42" spans="1:25" s="303" customFormat="1" x14ac:dyDescent="0.25">
      <c r="A42" s="303">
        <v>154</v>
      </c>
      <c r="B42" s="304">
        <f t="shared" si="4"/>
        <v>5</v>
      </c>
      <c r="C42" s="303">
        <v>25</v>
      </c>
      <c r="D42" s="310">
        <v>0.79138888888888881</v>
      </c>
      <c r="E42" s="310">
        <v>2.013888888888889E-2</v>
      </c>
      <c r="F42" s="312">
        <v>8.3333333333333332E-3</v>
      </c>
      <c r="G42" s="310">
        <v>3.472222222222222E-3</v>
      </c>
      <c r="H42" s="312">
        <f t="shared" si="8"/>
        <v>3.1944444444444449E-2</v>
      </c>
      <c r="I42" s="310">
        <f t="shared" si="13"/>
        <v>0.7786921296296293</v>
      </c>
      <c r="J42" s="310">
        <f t="shared" si="9"/>
        <v>1.2696759259259505E-2</v>
      </c>
      <c r="K42" s="329">
        <v>5.0347222222222225E-3</v>
      </c>
      <c r="L42" s="334">
        <v>1.6</v>
      </c>
      <c r="M42" s="311">
        <v>2.8472222222222222E-2</v>
      </c>
      <c r="N42" s="367">
        <v>1.3888888888888889E-3</v>
      </c>
      <c r="O42" s="368">
        <f t="shared" si="10"/>
        <v>2.7083333333333334E-2</v>
      </c>
      <c r="P42" s="368">
        <v>0.32777777777777778</v>
      </c>
      <c r="Q42" s="372">
        <v>26</v>
      </c>
      <c r="R42" s="304">
        <f t="shared" si="3"/>
        <v>5</v>
      </c>
      <c r="S42" s="309"/>
      <c r="T42" s="311"/>
      <c r="U42" s="303">
        <v>2</v>
      </c>
      <c r="V42" s="304">
        <f>U42*0.5</f>
        <v>1</v>
      </c>
      <c r="W42" s="304">
        <f t="shared" si="12"/>
        <v>4</v>
      </c>
      <c r="Y42" s="346"/>
    </row>
    <row r="43" spans="1:25" s="304" customFormat="1" x14ac:dyDescent="0.25">
      <c r="A43" s="304">
        <v>157</v>
      </c>
      <c r="B43" s="304">
        <f t="shared" si="4"/>
        <v>3</v>
      </c>
      <c r="C43" s="304">
        <v>26</v>
      </c>
      <c r="D43" s="312">
        <v>0.80680555555555555</v>
      </c>
      <c r="E43" s="312">
        <v>1.2592592592592593E-2</v>
      </c>
      <c r="F43" s="312">
        <v>6.9444444444444441E-3</v>
      </c>
      <c r="G43" s="310">
        <v>3.472222222222222E-3</v>
      </c>
      <c r="H43" s="312">
        <f t="shared" si="8"/>
        <v>2.3009259259259257E-2</v>
      </c>
      <c r="I43" s="310">
        <f t="shared" si="13"/>
        <v>0.80170138888888853</v>
      </c>
      <c r="J43" s="312">
        <f t="shared" si="9"/>
        <v>5.1041666666670205E-3</v>
      </c>
      <c r="K43" s="329">
        <v>5.0347222222222225E-3</v>
      </c>
      <c r="L43" s="333">
        <v>1.5</v>
      </c>
      <c r="M43" s="324">
        <v>5.1388888888888894E-2</v>
      </c>
      <c r="N43" s="368">
        <v>2.2222222222222223E-2</v>
      </c>
      <c r="O43" s="368">
        <f t="shared" si="10"/>
        <v>2.9166666666666671E-2</v>
      </c>
      <c r="P43" s="368">
        <v>0.4055555555555555</v>
      </c>
      <c r="Q43" s="372">
        <v>27</v>
      </c>
      <c r="R43" s="304">
        <f t="shared" si="3"/>
        <v>3</v>
      </c>
      <c r="S43" s="309"/>
      <c r="T43" s="311"/>
      <c r="U43" s="304">
        <v>1</v>
      </c>
      <c r="V43" s="304">
        <f>U43*0.5</f>
        <v>0.5</v>
      </c>
      <c r="W43" s="304">
        <f t="shared" si="12"/>
        <v>2.5</v>
      </c>
      <c r="Y43" s="345"/>
    </row>
    <row r="44" spans="1:25" s="279" customFormat="1" x14ac:dyDescent="0.25">
      <c r="A44" s="317">
        <v>161</v>
      </c>
      <c r="B44" s="317">
        <v>4</v>
      </c>
      <c r="C44" s="317"/>
      <c r="D44" s="319">
        <v>0.8273611111111111</v>
      </c>
      <c r="E44" s="319">
        <v>1.5104166666666667E-2</v>
      </c>
      <c r="F44" s="320">
        <v>6.9444444444444441E-3</v>
      </c>
      <c r="G44" s="319">
        <v>3.472222222222222E-3</v>
      </c>
      <c r="H44" s="320">
        <f t="shared" si="8"/>
        <v>2.5520833333333333E-2</v>
      </c>
      <c r="I44" s="319">
        <f t="shared" si="13"/>
        <v>0.82722222222222186</v>
      </c>
      <c r="J44" s="320">
        <f t="shared" si="9"/>
        <v>1.3888888888924367E-4</v>
      </c>
      <c r="K44" s="347">
        <v>5.0347222222222225E-3</v>
      </c>
      <c r="L44" s="348">
        <v>1.5</v>
      </c>
      <c r="M44" s="349">
        <v>7.7083333333333337E-2</v>
      </c>
      <c r="N44" s="369">
        <v>4.4444444444444446E-2</v>
      </c>
      <c r="O44" s="370">
        <f t="shared" si="10"/>
        <v>3.2638888888888891E-2</v>
      </c>
      <c r="P44" s="370">
        <v>0.32222222222222224</v>
      </c>
      <c r="Q44" s="373">
        <v>30</v>
      </c>
      <c r="R44" s="318">
        <f t="shared" si="3"/>
        <v>4</v>
      </c>
      <c r="S44" s="349"/>
      <c r="T44" s="349"/>
      <c r="U44" s="317">
        <v>2</v>
      </c>
      <c r="V44" s="318">
        <f>U44*0.5</f>
        <v>1</v>
      </c>
      <c r="W44" s="318">
        <f t="shared" si="12"/>
        <v>3</v>
      </c>
      <c r="Y44" s="341"/>
    </row>
    <row r="45" spans="1:25" x14ac:dyDescent="0.25">
      <c r="D45" s="363">
        <v>0.8273611111111111</v>
      </c>
      <c r="E45" s="316">
        <f>SUM(E5:E44)</f>
        <v>0.61611111111111105</v>
      </c>
      <c r="F45" s="316">
        <f>SUM(F5:F44)</f>
        <v>0.14375000000000002</v>
      </c>
      <c r="G45" s="278">
        <f>SUM(G5:G44)</f>
        <v>6.7361111111111094E-2</v>
      </c>
      <c r="H45" s="316">
        <f>SUM(H5:H44)</f>
        <v>0.82722222222222208</v>
      </c>
      <c r="I45" s="316">
        <f>E45+F45+G45</f>
        <v>0.82722222222222219</v>
      </c>
      <c r="S45" s="314" t="e">
        <f>AVERAGE(S5:S44)</f>
        <v>#DIV/0!</v>
      </c>
      <c r="U45" s="303">
        <f>SUM(U3:U44)</f>
        <v>65</v>
      </c>
      <c r="V45" s="303">
        <f>SUM(V3:V44)</f>
        <v>19.5</v>
      </c>
      <c r="W45" s="303">
        <f>SUM(W3:W44)</f>
        <v>141.49999999999997</v>
      </c>
    </row>
    <row r="46" spans="1:25" x14ac:dyDescent="0.25">
      <c r="U46" s="304"/>
      <c r="V46" s="304"/>
      <c r="W46" s="304"/>
    </row>
    <row r="47" spans="1:25" x14ac:dyDescent="0.25">
      <c r="D47" s="303"/>
      <c r="E47" s="303"/>
      <c r="F47" s="285"/>
      <c r="I47" s="279"/>
      <c r="J47" s="279"/>
      <c r="K47" s="326"/>
    </row>
    <row r="48" spans="1:25" x14ac:dyDescent="0.25">
      <c r="D48" s="279"/>
      <c r="E48" s="335"/>
      <c r="F48" s="285"/>
      <c r="H48" s="312"/>
    </row>
    <row r="49" spans="4:11" x14ac:dyDescent="0.25">
      <c r="D49" s="303"/>
      <c r="E49" s="310"/>
      <c r="F49" s="285"/>
      <c r="H49" s="312"/>
    </row>
    <row r="50" spans="4:11" x14ac:dyDescent="0.25">
      <c r="D50" s="279"/>
      <c r="E50" s="361"/>
      <c r="F50" s="285"/>
      <c r="I50" s="303"/>
      <c r="J50" s="303"/>
      <c r="K50" s="329"/>
    </row>
    <row r="51" spans="4:11" x14ac:dyDescent="0.25">
      <c r="D51" s="303"/>
      <c r="E51" s="303"/>
      <c r="F51" s="285"/>
    </row>
    <row r="52" spans="4:11" x14ac:dyDescent="0.25">
      <c r="D52" s="279"/>
      <c r="E52" s="361"/>
      <c r="F52" s="285"/>
      <c r="I52" s="279"/>
      <c r="J52" s="279"/>
      <c r="K52" s="326"/>
    </row>
    <row r="53" spans="4:11" x14ac:dyDescent="0.25">
      <c r="D53" s="303"/>
      <c r="E53" s="303"/>
      <c r="F53" s="285"/>
      <c r="I53" s="303"/>
      <c r="J53" s="303"/>
      <c r="K53" s="329"/>
    </row>
    <row r="55" spans="4:11" x14ac:dyDescent="0.25">
      <c r="I55" s="280"/>
      <c r="J55" s="280"/>
    </row>
    <row r="56" spans="4:11" x14ac:dyDescent="0.25">
      <c r="J56" s="280"/>
    </row>
  </sheetData>
  <printOptions gridLines="1"/>
  <pageMargins left="0" right="0" top="0.74803149606299213" bottom="0.55118110236220474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Normal="100" workbookViewId="0">
      <selection activeCell="G38" sqref="G38"/>
    </sheetView>
  </sheetViews>
  <sheetFormatPr defaultColWidth="9.140625" defaultRowHeight="15" x14ac:dyDescent="0.25"/>
  <cols>
    <col min="1" max="1" width="6.28515625" style="277" bestFit="1" customWidth="1"/>
    <col min="2" max="2" width="7.85546875" style="277" bestFit="1" customWidth="1"/>
    <col min="3" max="3" width="6.28515625" style="277" bestFit="1" customWidth="1"/>
    <col min="4" max="6" width="8.7109375" style="277" customWidth="1"/>
    <col min="7" max="7" width="8.7109375" style="278" customWidth="1"/>
    <col min="8" max="10" width="8.7109375" style="277" customWidth="1"/>
    <col min="11" max="11" width="7.7109375" style="327" customWidth="1"/>
    <col min="12" max="12" width="4.5703125" style="331" bestFit="1" customWidth="1"/>
    <col min="13" max="13" width="5.5703125" style="277" bestFit="1" customWidth="1"/>
    <col min="14" max="15" width="8.7109375" style="368" customWidth="1"/>
    <col min="16" max="21" width="8.7109375" style="277" customWidth="1"/>
    <col min="22" max="22" width="9.140625" style="277"/>
    <col min="23" max="23" width="15" style="342" customWidth="1"/>
    <col min="24" max="16384" width="9.140625" style="277"/>
  </cols>
  <sheetData>
    <row r="1" spans="1:24" s="279" customFormat="1" x14ac:dyDescent="0.25">
      <c r="A1" s="337" t="s">
        <v>371</v>
      </c>
      <c r="B1" s="338">
        <v>43323</v>
      </c>
      <c r="C1" s="339"/>
      <c r="D1" s="339" t="s">
        <v>380</v>
      </c>
      <c r="E1" s="339"/>
      <c r="F1" s="340">
        <v>0.30833333333333335</v>
      </c>
      <c r="G1" s="281"/>
      <c r="H1" s="279" t="s">
        <v>72</v>
      </c>
      <c r="L1" s="279" t="s">
        <v>19</v>
      </c>
      <c r="N1" s="367"/>
      <c r="O1" s="367"/>
      <c r="W1" s="341"/>
    </row>
    <row r="2" spans="1:24" s="279" customFormat="1" x14ac:dyDescent="0.25">
      <c r="D2" s="305" t="s">
        <v>386</v>
      </c>
      <c r="E2" s="279" t="s">
        <v>19</v>
      </c>
      <c r="F2" s="279" t="s">
        <v>329</v>
      </c>
      <c r="G2" s="281" t="s">
        <v>381</v>
      </c>
      <c r="H2" s="279" t="s">
        <v>387</v>
      </c>
      <c r="I2" s="279" t="s">
        <v>72</v>
      </c>
      <c r="J2" s="279" t="s">
        <v>5</v>
      </c>
      <c r="K2" s="326" t="s">
        <v>7</v>
      </c>
      <c r="L2" s="330" t="s">
        <v>451</v>
      </c>
      <c r="M2" s="279" t="s">
        <v>449</v>
      </c>
      <c r="N2" s="367" t="s">
        <v>4</v>
      </c>
      <c r="O2" s="367" t="s">
        <v>5</v>
      </c>
      <c r="Q2" s="279" t="s">
        <v>382</v>
      </c>
      <c r="S2" s="279" t="s">
        <v>329</v>
      </c>
      <c r="T2" s="279" t="s">
        <v>329</v>
      </c>
      <c r="U2" s="279" t="s">
        <v>19</v>
      </c>
      <c r="W2" s="341"/>
    </row>
    <row r="3" spans="1:24" x14ac:dyDescent="0.25">
      <c r="A3" s="279"/>
      <c r="B3" s="279" t="s">
        <v>100</v>
      </c>
      <c r="D3" s="307">
        <v>0.30833333333333335</v>
      </c>
      <c r="H3" s="279" t="s">
        <v>381</v>
      </c>
      <c r="L3" s="330" t="s">
        <v>450</v>
      </c>
      <c r="M3" s="279" t="s">
        <v>385</v>
      </c>
      <c r="N3" s="367"/>
      <c r="O3" s="367"/>
      <c r="Q3" s="279" t="s">
        <v>7</v>
      </c>
      <c r="S3" s="279" t="s">
        <v>384</v>
      </c>
      <c r="T3" s="279" t="s">
        <v>100</v>
      </c>
      <c r="U3" s="279" t="s">
        <v>100</v>
      </c>
      <c r="W3" s="342" t="s">
        <v>391</v>
      </c>
    </row>
    <row r="4" spans="1:24" x14ac:dyDescent="0.25">
      <c r="A4" s="279" t="s">
        <v>100</v>
      </c>
      <c r="B4" s="279" t="s">
        <v>383</v>
      </c>
      <c r="C4" s="279" t="s">
        <v>325</v>
      </c>
      <c r="L4" s="330"/>
      <c r="M4" s="280">
        <v>0.25</v>
      </c>
      <c r="S4" s="304"/>
      <c r="T4" s="304"/>
      <c r="U4" s="304"/>
    </row>
    <row r="5" spans="1:24" s="365" customFormat="1" x14ac:dyDescent="0.25">
      <c r="A5" s="365">
        <v>9</v>
      </c>
      <c r="B5" s="365">
        <f>A5</f>
        <v>9</v>
      </c>
      <c r="C5" s="365">
        <v>1</v>
      </c>
      <c r="D5" s="313">
        <v>4.6250000000000006E-2</v>
      </c>
      <c r="E5" s="313">
        <v>3.4374999999999996E-2</v>
      </c>
      <c r="F5" s="313">
        <v>0</v>
      </c>
      <c r="G5" s="313">
        <v>1.3888888888888889E-3</v>
      </c>
      <c r="H5" s="315">
        <f t="shared" ref="H5:H18" si="0">E5+F5+G5</f>
        <v>3.5763888888888887E-2</v>
      </c>
      <c r="I5" s="313">
        <f>E5+G5</f>
        <v>3.5763888888888887E-2</v>
      </c>
      <c r="J5" s="313">
        <f t="shared" ref="J5:J18" si="1">D5-I5</f>
        <v>1.048611111111112E-2</v>
      </c>
      <c r="K5" s="325">
        <v>3.8194444444444443E-3</v>
      </c>
      <c r="L5" s="366">
        <v>9</v>
      </c>
      <c r="M5" s="314">
        <v>0.28611111111111115</v>
      </c>
      <c r="N5" s="367"/>
      <c r="O5" s="368"/>
      <c r="P5" s="304">
        <f t="shared" ref="P5:P44" si="2">T5+U5</f>
        <v>9</v>
      </c>
      <c r="Q5" s="309"/>
      <c r="U5" s="365">
        <v>9</v>
      </c>
      <c r="W5" s="343" t="s">
        <v>392</v>
      </c>
      <c r="X5" s="195" t="s">
        <v>397</v>
      </c>
    </row>
    <row r="6" spans="1:24" s="195" customFormat="1" x14ac:dyDescent="0.25">
      <c r="A6" s="195">
        <v>13</v>
      </c>
      <c r="B6" s="195">
        <f>A6-B5</f>
        <v>4</v>
      </c>
      <c r="C6" s="195">
        <v>2</v>
      </c>
      <c r="D6" s="315">
        <v>6.6805555555555562E-2</v>
      </c>
      <c r="E6" s="315">
        <v>1.5277777777777777E-2</v>
      </c>
      <c r="F6" s="313">
        <v>0</v>
      </c>
      <c r="G6" s="313">
        <v>1.3888888888888889E-3</v>
      </c>
      <c r="H6" s="315">
        <f t="shared" si="0"/>
        <v>1.6666666666666666E-2</v>
      </c>
      <c r="I6" s="315">
        <f>I5+E6+F6+G6</f>
        <v>5.2430555555555557E-2</v>
      </c>
      <c r="J6" s="315">
        <f t="shared" si="1"/>
        <v>1.4375000000000006E-2</v>
      </c>
      <c r="K6" s="325">
        <v>3.8194444444444443E-3</v>
      </c>
      <c r="L6" s="332">
        <v>4</v>
      </c>
      <c r="M6" s="323">
        <v>0.30208333333333331</v>
      </c>
      <c r="N6" s="368"/>
      <c r="O6" s="368"/>
      <c r="P6" s="304">
        <f t="shared" si="2"/>
        <v>4</v>
      </c>
      <c r="Q6" s="309"/>
      <c r="U6" s="195">
        <v>4</v>
      </c>
      <c r="W6" s="343" t="s">
        <v>393</v>
      </c>
      <c r="X6" s="195" t="s">
        <v>397</v>
      </c>
    </row>
    <row r="7" spans="1:24" s="365" customFormat="1" x14ac:dyDescent="0.25">
      <c r="A7" s="365">
        <v>19</v>
      </c>
      <c r="B7" s="195">
        <f t="shared" ref="B7:B43" si="3">A7-A6</f>
        <v>6</v>
      </c>
      <c r="C7" s="365">
        <v>3</v>
      </c>
      <c r="D7" s="313">
        <v>9.7638888888888886E-2</v>
      </c>
      <c r="E7" s="313">
        <v>2.2916666666666669E-2</v>
      </c>
      <c r="F7" s="313">
        <v>0</v>
      </c>
      <c r="G7" s="313">
        <v>1.3888888888888889E-3</v>
      </c>
      <c r="H7" s="315">
        <f t="shared" si="0"/>
        <v>2.4305555555555556E-2</v>
      </c>
      <c r="I7" s="315">
        <f>I6+E7+F7+G7</f>
        <v>7.6736111111111116E-2</v>
      </c>
      <c r="J7" s="313">
        <f t="shared" si="1"/>
        <v>2.090277777777777E-2</v>
      </c>
      <c r="K7" s="325">
        <v>3.8194444444444443E-3</v>
      </c>
      <c r="L7" s="366">
        <v>6</v>
      </c>
      <c r="M7" s="314">
        <v>0.3263888888888889</v>
      </c>
      <c r="N7" s="367"/>
      <c r="O7" s="368"/>
      <c r="P7" s="304">
        <f t="shared" si="2"/>
        <v>6</v>
      </c>
      <c r="Q7" s="309"/>
      <c r="U7" s="365">
        <v>6</v>
      </c>
      <c r="W7" s="343" t="s">
        <v>394</v>
      </c>
      <c r="X7" s="195" t="s">
        <v>397</v>
      </c>
    </row>
    <row r="8" spans="1:24" s="304" customFormat="1" x14ac:dyDescent="0.25">
      <c r="A8" s="304">
        <v>25</v>
      </c>
      <c r="B8" s="304">
        <f t="shared" si="3"/>
        <v>6</v>
      </c>
      <c r="C8" s="304">
        <v>4</v>
      </c>
      <c r="D8" s="312">
        <v>0.12847222222222224</v>
      </c>
      <c r="E8" s="312">
        <v>2.3958333333333331E-2</v>
      </c>
      <c r="F8" s="312">
        <v>0</v>
      </c>
      <c r="G8" s="310">
        <v>1.3888888888888889E-3</v>
      </c>
      <c r="H8" s="312">
        <f t="shared" si="0"/>
        <v>2.5347222222222219E-2</v>
      </c>
      <c r="I8" s="312">
        <f t="shared" ref="I8:I18" si="4">I7+G8+F8+E8</f>
        <v>0.10208333333333333</v>
      </c>
      <c r="J8" s="312">
        <f t="shared" si="1"/>
        <v>2.6388888888888906E-2</v>
      </c>
      <c r="K8" s="328">
        <v>3.9930555555555561E-3</v>
      </c>
      <c r="L8" s="333">
        <v>6</v>
      </c>
      <c r="M8" s="324">
        <v>0.3520833333333333</v>
      </c>
      <c r="N8" s="368"/>
      <c r="O8" s="368"/>
      <c r="P8" s="304">
        <f t="shared" si="2"/>
        <v>6</v>
      </c>
      <c r="Q8" s="309"/>
      <c r="U8" s="304">
        <v>6</v>
      </c>
      <c r="W8" s="343" t="s">
        <v>395</v>
      </c>
      <c r="X8" s="195" t="s">
        <v>401</v>
      </c>
    </row>
    <row r="9" spans="1:24" s="303" customFormat="1" x14ac:dyDescent="0.25">
      <c r="A9" s="303">
        <v>31</v>
      </c>
      <c r="B9" s="304">
        <f t="shared" si="3"/>
        <v>6</v>
      </c>
      <c r="C9" s="303">
        <v>5</v>
      </c>
      <c r="D9" s="310">
        <v>0.15930555555555556</v>
      </c>
      <c r="E9" s="310">
        <v>2.1562499999999998E-2</v>
      </c>
      <c r="F9" s="312">
        <v>4.1666666666666666E-3</v>
      </c>
      <c r="G9" s="310">
        <v>1.3888888888888889E-3</v>
      </c>
      <c r="H9" s="312">
        <f t="shared" si="0"/>
        <v>2.7118055555555552E-2</v>
      </c>
      <c r="I9" s="312">
        <f t="shared" si="4"/>
        <v>0.12920138888888888</v>
      </c>
      <c r="J9" s="310">
        <f t="shared" si="1"/>
        <v>3.0104166666666682E-2</v>
      </c>
      <c r="K9" s="328">
        <v>3.9930555555555561E-3</v>
      </c>
      <c r="L9" s="333">
        <v>1.8</v>
      </c>
      <c r="M9" s="311">
        <v>0.37916666666666665</v>
      </c>
      <c r="N9" s="368"/>
      <c r="O9" s="368"/>
      <c r="P9" s="304">
        <f t="shared" si="2"/>
        <v>6</v>
      </c>
      <c r="Q9" s="309"/>
      <c r="S9" s="303">
        <v>3</v>
      </c>
      <c r="T9" s="304">
        <f t="shared" ref="T9:T14" si="5">S9*0.2</f>
        <v>0.60000000000000009</v>
      </c>
      <c r="U9" s="304">
        <f t="shared" ref="U9:U18" si="6">B9-T9</f>
        <v>5.4</v>
      </c>
      <c r="W9" s="343" t="s">
        <v>396</v>
      </c>
      <c r="X9" s="195"/>
    </row>
    <row r="10" spans="1:24" s="304" customFormat="1" x14ac:dyDescent="0.25">
      <c r="A10" s="304">
        <v>39</v>
      </c>
      <c r="B10" s="304">
        <f t="shared" si="3"/>
        <v>8</v>
      </c>
      <c r="C10" s="304">
        <v>6</v>
      </c>
      <c r="D10" s="312">
        <v>0.20041666666666669</v>
      </c>
      <c r="E10" s="312">
        <v>2.8749999999999998E-2</v>
      </c>
      <c r="F10" s="312">
        <v>5.5555555555555558E-3</v>
      </c>
      <c r="G10" s="310">
        <v>1.3888888888888889E-3</v>
      </c>
      <c r="H10" s="312">
        <f t="shared" si="0"/>
        <v>3.5694444444444445E-2</v>
      </c>
      <c r="I10" s="312">
        <f t="shared" si="4"/>
        <v>0.16489583333333332</v>
      </c>
      <c r="J10" s="312">
        <f t="shared" si="1"/>
        <v>3.5520833333333363E-2</v>
      </c>
      <c r="K10" s="328">
        <v>3.9930555555555561E-3</v>
      </c>
      <c r="L10" s="333">
        <v>1.8</v>
      </c>
      <c r="M10" s="324">
        <v>0.4145833333333333</v>
      </c>
      <c r="N10" s="368"/>
      <c r="O10" s="368"/>
      <c r="P10" s="304">
        <f t="shared" si="2"/>
        <v>8</v>
      </c>
      <c r="Q10" s="309"/>
      <c r="S10" s="304">
        <v>4</v>
      </c>
      <c r="T10" s="304">
        <f t="shared" si="5"/>
        <v>0.8</v>
      </c>
      <c r="U10" s="304">
        <f t="shared" si="6"/>
        <v>7.2</v>
      </c>
      <c r="W10" s="344" t="s">
        <v>398</v>
      </c>
      <c r="X10" s="195"/>
    </row>
    <row r="11" spans="1:24" s="303" customFormat="1" x14ac:dyDescent="0.25">
      <c r="A11" s="303">
        <v>47</v>
      </c>
      <c r="B11" s="304">
        <f t="shared" si="3"/>
        <v>8</v>
      </c>
      <c r="C11" s="303">
        <v>7</v>
      </c>
      <c r="D11" s="310">
        <v>0.24152777777777779</v>
      </c>
      <c r="E11" s="310">
        <v>2.8749999999999998E-2</v>
      </c>
      <c r="F11" s="312">
        <v>5.5555555555555558E-3</v>
      </c>
      <c r="G11" s="310">
        <v>1.3888888888888889E-3</v>
      </c>
      <c r="H11" s="312">
        <f t="shared" si="0"/>
        <v>3.5694444444444445E-2</v>
      </c>
      <c r="I11" s="312">
        <f t="shared" si="4"/>
        <v>0.20059027777777777</v>
      </c>
      <c r="J11" s="310">
        <f t="shared" si="1"/>
        <v>4.0937500000000016E-2</v>
      </c>
      <c r="K11" s="328">
        <v>3.9930555555555561E-3</v>
      </c>
      <c r="L11" s="333">
        <v>1.8</v>
      </c>
      <c r="M11" s="311">
        <v>0.45069444444444445</v>
      </c>
      <c r="N11" s="368"/>
      <c r="O11" s="368"/>
      <c r="P11" s="304">
        <f t="shared" si="2"/>
        <v>8</v>
      </c>
      <c r="Q11" s="309"/>
      <c r="S11" s="303">
        <v>4</v>
      </c>
      <c r="T11" s="304">
        <f t="shared" si="5"/>
        <v>0.8</v>
      </c>
      <c r="U11" s="304">
        <f t="shared" si="6"/>
        <v>7.2</v>
      </c>
      <c r="W11" s="343" t="s">
        <v>402</v>
      </c>
      <c r="X11" s="195"/>
    </row>
    <row r="12" spans="1:24" x14ac:dyDescent="0.25">
      <c r="A12" s="277">
        <v>53</v>
      </c>
      <c r="B12" s="277">
        <f t="shared" si="3"/>
        <v>6</v>
      </c>
      <c r="C12" s="277">
        <v>8</v>
      </c>
      <c r="D12" s="315">
        <v>0.27236111111111111</v>
      </c>
      <c r="E12" s="278">
        <v>2.2499999999999996E-2</v>
      </c>
      <c r="F12" s="278">
        <v>4.1666666666666666E-3</v>
      </c>
      <c r="G12" s="281">
        <v>1.3888888888888889E-3</v>
      </c>
      <c r="H12" s="315">
        <f t="shared" si="0"/>
        <v>2.8055555555555549E-2</v>
      </c>
      <c r="I12" s="278">
        <f t="shared" si="4"/>
        <v>0.22864583333333333</v>
      </c>
      <c r="J12" s="278">
        <f t="shared" si="1"/>
        <v>4.3715277777777783E-2</v>
      </c>
      <c r="K12" s="327">
        <v>4.1666666666666666E-3</v>
      </c>
      <c r="L12" s="331">
        <v>1.8</v>
      </c>
      <c r="M12" s="280">
        <v>0.47847222222222219</v>
      </c>
      <c r="P12" s="304">
        <f t="shared" si="2"/>
        <v>6</v>
      </c>
      <c r="Q12" s="309"/>
      <c r="S12" s="277">
        <v>3</v>
      </c>
      <c r="T12" s="277">
        <f t="shared" si="5"/>
        <v>0.60000000000000009</v>
      </c>
      <c r="U12" s="277">
        <f t="shared" si="6"/>
        <v>5.4</v>
      </c>
      <c r="W12" s="344" t="s">
        <v>403</v>
      </c>
      <c r="X12" s="195"/>
    </row>
    <row r="13" spans="1:24" s="279" customFormat="1" x14ac:dyDescent="0.25">
      <c r="A13" s="279">
        <v>59</v>
      </c>
      <c r="B13" s="277">
        <f t="shared" si="3"/>
        <v>6</v>
      </c>
      <c r="C13" s="279" t="s">
        <v>444</v>
      </c>
      <c r="D13" s="313">
        <v>0.30319444444444443</v>
      </c>
      <c r="E13" s="281">
        <v>2.2499999999999996E-2</v>
      </c>
      <c r="F13" s="278">
        <v>4.1666666666666666E-3</v>
      </c>
      <c r="G13" s="281">
        <v>4.8611111111111112E-3</v>
      </c>
      <c r="H13" s="315">
        <f t="shared" si="0"/>
        <v>3.1527777777777773E-2</v>
      </c>
      <c r="I13" s="278">
        <f t="shared" si="4"/>
        <v>0.26017361111111115</v>
      </c>
      <c r="J13" s="281">
        <f t="shared" si="1"/>
        <v>4.3020833333333286E-2</v>
      </c>
      <c r="K13" s="327">
        <v>4.1666666666666666E-3</v>
      </c>
      <c r="L13" s="330">
        <v>1.8</v>
      </c>
      <c r="M13" s="283">
        <v>0.51041666666666663</v>
      </c>
      <c r="N13" s="367"/>
      <c r="O13" s="368"/>
      <c r="P13" s="304">
        <f t="shared" si="2"/>
        <v>6</v>
      </c>
      <c r="Q13" s="309"/>
      <c r="S13" s="279">
        <v>3</v>
      </c>
      <c r="T13" s="277">
        <f t="shared" si="5"/>
        <v>0.60000000000000009</v>
      </c>
      <c r="U13" s="277">
        <f t="shared" si="6"/>
        <v>5.4</v>
      </c>
      <c r="W13" s="341" t="s">
        <v>447</v>
      </c>
      <c r="X13" s="279" t="s">
        <v>448</v>
      </c>
    </row>
    <row r="14" spans="1:24" x14ac:dyDescent="0.25">
      <c r="A14" s="277">
        <v>65</v>
      </c>
      <c r="B14" s="277">
        <f t="shared" si="3"/>
        <v>6</v>
      </c>
      <c r="C14" s="277">
        <v>10</v>
      </c>
      <c r="D14" s="315">
        <v>0.33402777777777781</v>
      </c>
      <c r="E14" s="278">
        <v>2.2499999999999996E-2</v>
      </c>
      <c r="F14" s="278">
        <v>4.1666666666666666E-3</v>
      </c>
      <c r="G14" s="281">
        <v>1.3888888888888889E-3</v>
      </c>
      <c r="H14" s="315">
        <f t="shared" si="0"/>
        <v>2.8055555555555549E-2</v>
      </c>
      <c r="I14" s="278">
        <f t="shared" si="4"/>
        <v>0.2882291666666667</v>
      </c>
      <c r="J14" s="278">
        <f t="shared" si="1"/>
        <v>4.5798611111111109E-2</v>
      </c>
      <c r="K14" s="327">
        <v>4.1666666666666666E-3</v>
      </c>
      <c r="L14" s="331">
        <v>1.8</v>
      </c>
      <c r="M14" s="280">
        <v>0.53819444444444442</v>
      </c>
      <c r="P14" s="304">
        <f t="shared" si="2"/>
        <v>6</v>
      </c>
      <c r="Q14" s="309"/>
      <c r="S14" s="277">
        <v>3</v>
      </c>
      <c r="T14" s="277">
        <f t="shared" si="5"/>
        <v>0.60000000000000009</v>
      </c>
      <c r="U14" s="277">
        <f t="shared" si="6"/>
        <v>5.4</v>
      </c>
    </row>
    <row r="15" spans="1:24" s="303" customFormat="1" x14ac:dyDescent="0.25">
      <c r="A15" s="303">
        <v>72</v>
      </c>
      <c r="B15" s="304">
        <f t="shared" si="3"/>
        <v>7</v>
      </c>
      <c r="C15" s="303">
        <v>11</v>
      </c>
      <c r="D15" s="310">
        <v>0.37000000000000005</v>
      </c>
      <c r="E15" s="310">
        <v>2.6481481481481481E-2</v>
      </c>
      <c r="F15" s="312">
        <v>6.2499999999999995E-3</v>
      </c>
      <c r="G15" s="310">
        <v>1.3888888888888889E-3</v>
      </c>
      <c r="H15" s="312">
        <f t="shared" si="0"/>
        <v>3.412037037037037E-2</v>
      </c>
      <c r="I15" s="310">
        <f t="shared" si="4"/>
        <v>0.32234953703703706</v>
      </c>
      <c r="J15" s="310">
        <f t="shared" si="1"/>
        <v>4.7650462962962992E-2</v>
      </c>
      <c r="K15" s="329">
        <v>4.340277777777778E-3</v>
      </c>
      <c r="L15" s="334">
        <v>1.7</v>
      </c>
      <c r="M15" s="311">
        <v>0.57222222222222219</v>
      </c>
      <c r="N15" s="367"/>
      <c r="O15" s="368"/>
      <c r="P15" s="304">
        <f t="shared" si="2"/>
        <v>7</v>
      </c>
      <c r="Q15" s="309"/>
      <c r="S15" s="303">
        <v>3</v>
      </c>
      <c r="T15" s="304">
        <f>S15*0.3</f>
        <v>0.89999999999999991</v>
      </c>
      <c r="U15" s="304">
        <f t="shared" si="6"/>
        <v>6.1</v>
      </c>
      <c r="W15" s="346"/>
    </row>
    <row r="16" spans="1:24" s="304" customFormat="1" x14ac:dyDescent="0.25">
      <c r="A16" s="304">
        <v>79</v>
      </c>
      <c r="B16" s="304">
        <f t="shared" si="3"/>
        <v>7</v>
      </c>
      <c r="C16" s="304">
        <v>12</v>
      </c>
      <c r="D16" s="312">
        <v>0.40597222222222223</v>
      </c>
      <c r="E16" s="312">
        <v>2.6481481481481481E-2</v>
      </c>
      <c r="F16" s="312">
        <v>6.2499999999999995E-3</v>
      </c>
      <c r="G16" s="310">
        <v>1.3888888888888889E-3</v>
      </c>
      <c r="H16" s="312">
        <f t="shared" si="0"/>
        <v>3.412037037037037E-2</v>
      </c>
      <c r="I16" s="310">
        <f t="shared" si="4"/>
        <v>0.35646990740740742</v>
      </c>
      <c r="J16" s="312">
        <f t="shared" si="1"/>
        <v>4.9502314814814818E-2</v>
      </c>
      <c r="K16" s="329">
        <v>4.340277777777778E-3</v>
      </c>
      <c r="L16" s="333">
        <v>1.7</v>
      </c>
      <c r="M16" s="324">
        <v>0.60625000000000007</v>
      </c>
      <c r="N16" s="368"/>
      <c r="O16" s="368"/>
      <c r="P16" s="304">
        <f t="shared" si="2"/>
        <v>7</v>
      </c>
      <c r="Q16" s="309"/>
      <c r="S16" s="304">
        <v>3</v>
      </c>
      <c r="T16" s="304">
        <f>S16*0.3</f>
        <v>0.89999999999999991</v>
      </c>
      <c r="U16" s="304">
        <f t="shared" si="6"/>
        <v>6.1</v>
      </c>
      <c r="W16" s="345"/>
    </row>
    <row r="17" spans="1:23" s="303" customFormat="1" x14ac:dyDescent="0.25">
      <c r="A17" s="303">
        <v>85</v>
      </c>
      <c r="B17" s="304">
        <f t="shared" si="3"/>
        <v>6</v>
      </c>
      <c r="C17" s="303">
        <v>13</v>
      </c>
      <c r="D17" s="310">
        <v>0.4368055555555555</v>
      </c>
      <c r="E17" s="310">
        <v>2.2141203703703705E-2</v>
      </c>
      <c r="F17" s="312">
        <v>6.2499999999999995E-3</v>
      </c>
      <c r="G17" s="310">
        <v>1.3888888888888889E-3</v>
      </c>
      <c r="H17" s="312">
        <f t="shared" si="0"/>
        <v>2.9780092592592591E-2</v>
      </c>
      <c r="I17" s="310">
        <f t="shared" si="4"/>
        <v>0.38624999999999998</v>
      </c>
      <c r="J17" s="310">
        <f t="shared" si="1"/>
        <v>5.055555555555552E-2</v>
      </c>
      <c r="K17" s="329">
        <v>4.340277777777778E-3</v>
      </c>
      <c r="L17" s="334">
        <v>1.7</v>
      </c>
      <c r="M17" s="311">
        <v>0.63611111111111118</v>
      </c>
      <c r="N17" s="367"/>
      <c r="O17" s="368"/>
      <c r="P17" s="304">
        <f t="shared" si="2"/>
        <v>6</v>
      </c>
      <c r="Q17" s="309"/>
      <c r="S17" s="303">
        <v>3</v>
      </c>
      <c r="T17" s="304">
        <f>S17*0.3</f>
        <v>0.89999999999999991</v>
      </c>
      <c r="U17" s="304">
        <f t="shared" si="6"/>
        <v>5.0999999999999996</v>
      </c>
      <c r="W17" s="346"/>
    </row>
    <row r="18" spans="1:23" s="304" customFormat="1" x14ac:dyDescent="0.25">
      <c r="A18" s="304">
        <v>91</v>
      </c>
      <c r="B18" s="304">
        <f t="shared" si="3"/>
        <v>6</v>
      </c>
      <c r="C18" s="304" t="s">
        <v>445</v>
      </c>
      <c r="D18" s="312">
        <v>0.46763888888888888</v>
      </c>
      <c r="E18" s="312">
        <v>2.2141203703703705E-2</v>
      </c>
      <c r="F18" s="312">
        <v>6.2499999999999995E-3</v>
      </c>
      <c r="G18" s="310">
        <v>6.9444444444444441E-3</v>
      </c>
      <c r="H18" s="312">
        <f t="shared" si="0"/>
        <v>3.5335648148148144E-2</v>
      </c>
      <c r="I18" s="310">
        <f t="shared" si="4"/>
        <v>0.42158564814814808</v>
      </c>
      <c r="J18" s="312">
        <f t="shared" si="1"/>
        <v>4.6053240740740797E-2</v>
      </c>
      <c r="K18" s="329">
        <v>4.340277777777778E-3</v>
      </c>
      <c r="L18" s="333">
        <v>1.7</v>
      </c>
      <c r="M18" s="324">
        <v>0.67152777777777783</v>
      </c>
      <c r="N18" s="368"/>
      <c r="O18" s="368"/>
      <c r="P18" s="304">
        <f t="shared" si="2"/>
        <v>6</v>
      </c>
      <c r="Q18" s="309"/>
      <c r="S18" s="304">
        <v>3</v>
      </c>
      <c r="T18" s="304">
        <f>S18*0.3</f>
        <v>0.89999999999999991</v>
      </c>
      <c r="U18" s="304">
        <f t="shared" si="6"/>
        <v>5.0999999999999996</v>
      </c>
      <c r="W18" s="345"/>
    </row>
    <row r="19" spans="1:23" s="304" customFormat="1" x14ac:dyDescent="0.25">
      <c r="D19" s="364"/>
      <c r="E19" s="312"/>
      <c r="F19" s="312"/>
      <c r="G19" s="310"/>
      <c r="H19" s="312"/>
      <c r="I19" s="310"/>
      <c r="J19" s="312"/>
      <c r="K19" s="329"/>
      <c r="L19" s="333"/>
      <c r="M19" s="324"/>
      <c r="N19" s="368"/>
      <c r="O19" s="368"/>
      <c r="Q19" s="309"/>
      <c r="W19" s="345"/>
    </row>
    <row r="20" spans="1:23" s="304" customFormat="1" x14ac:dyDescent="0.25">
      <c r="D20" s="308"/>
      <c r="E20" s="312"/>
      <c r="F20" s="312"/>
      <c r="G20" s="310"/>
      <c r="H20" s="312"/>
      <c r="I20" s="310"/>
      <c r="J20" s="312"/>
      <c r="K20" s="329"/>
      <c r="L20" s="333"/>
      <c r="M20" s="324"/>
      <c r="N20" s="368"/>
      <c r="O20" s="368"/>
      <c r="Q20" s="309"/>
      <c r="W20" s="345"/>
    </row>
    <row r="21" spans="1:23" s="304" customFormat="1" x14ac:dyDescent="0.25">
      <c r="D21" s="308"/>
      <c r="E21" s="312"/>
      <c r="F21" s="312"/>
      <c r="G21" s="310"/>
      <c r="H21" s="312"/>
      <c r="I21" s="310"/>
      <c r="J21" s="312"/>
      <c r="K21" s="329"/>
      <c r="L21" s="333"/>
      <c r="M21" s="324"/>
      <c r="N21" s="368"/>
      <c r="O21" s="368"/>
      <c r="Q21" s="309"/>
      <c r="W21" s="345"/>
    </row>
    <row r="22" spans="1:23" s="304" customFormat="1" x14ac:dyDescent="0.25">
      <c r="D22" s="308"/>
      <c r="E22" s="312"/>
      <c r="F22" s="312"/>
      <c r="G22" s="310"/>
      <c r="H22" s="312"/>
      <c r="I22" s="310"/>
      <c r="J22" s="312"/>
      <c r="K22" s="329"/>
      <c r="L22" s="333"/>
      <c r="M22" s="324"/>
      <c r="N22" s="368"/>
      <c r="O22" s="368"/>
      <c r="Q22" s="309"/>
      <c r="W22" s="345"/>
    </row>
    <row r="23" spans="1:23" s="304" customFormat="1" x14ac:dyDescent="0.25">
      <c r="D23" s="308"/>
      <c r="E23" s="312"/>
      <c r="F23" s="312"/>
      <c r="G23" s="310"/>
      <c r="H23" s="312"/>
      <c r="I23" s="310"/>
      <c r="J23" s="312"/>
      <c r="K23" s="329"/>
      <c r="L23" s="333"/>
      <c r="M23" s="324"/>
      <c r="N23" s="368"/>
      <c r="O23" s="368"/>
      <c r="Q23" s="309"/>
      <c r="W23" s="345"/>
    </row>
    <row r="24" spans="1:23" s="304" customFormat="1" x14ac:dyDescent="0.25">
      <c r="D24" s="308"/>
      <c r="E24" s="312"/>
      <c r="F24" s="312"/>
      <c r="G24" s="310"/>
      <c r="H24" s="312"/>
      <c r="I24" s="310"/>
      <c r="J24" s="312"/>
      <c r="K24" s="329"/>
      <c r="L24" s="333"/>
      <c r="M24" s="324"/>
      <c r="N24" s="368"/>
      <c r="O24" s="368"/>
      <c r="Q24" s="309"/>
      <c r="W24" s="345"/>
    </row>
    <row r="25" spans="1:23" s="304" customFormat="1" x14ac:dyDescent="0.25">
      <c r="D25" s="308"/>
      <c r="E25" s="312"/>
      <c r="F25" s="312"/>
      <c r="G25" s="310"/>
      <c r="H25" s="312"/>
      <c r="I25" s="310"/>
      <c r="J25" s="312"/>
      <c r="K25" s="329"/>
      <c r="L25" s="333"/>
      <c r="M25" s="324"/>
      <c r="N25" s="368"/>
      <c r="O25" s="368"/>
      <c r="Q25" s="309"/>
      <c r="W25" s="345"/>
    </row>
    <row r="26" spans="1:23" s="304" customFormat="1" x14ac:dyDescent="0.25">
      <c r="D26" s="308"/>
      <c r="E26" s="312"/>
      <c r="F26" s="312"/>
      <c r="G26" s="310"/>
      <c r="H26" s="312"/>
      <c r="I26" s="310"/>
      <c r="J26" s="312"/>
      <c r="K26" s="329"/>
      <c r="L26" s="333"/>
      <c r="M26" s="324"/>
      <c r="N26" s="368"/>
      <c r="O26" s="368"/>
      <c r="Q26" s="309"/>
      <c r="W26" s="345"/>
    </row>
    <row r="27" spans="1:23" s="304" customFormat="1" x14ac:dyDescent="0.25">
      <c r="D27" s="308"/>
      <c r="E27" s="312"/>
      <c r="F27" s="312"/>
      <c r="G27" s="310"/>
      <c r="H27" s="312"/>
      <c r="I27" s="310"/>
      <c r="J27" s="312"/>
      <c r="K27" s="329"/>
      <c r="L27" s="333"/>
      <c r="M27" s="324"/>
      <c r="N27" s="368"/>
      <c r="O27" s="368"/>
      <c r="Q27" s="309"/>
      <c r="W27" s="345"/>
    </row>
    <row r="28" spans="1:23" s="304" customFormat="1" x14ac:dyDescent="0.25">
      <c r="D28" s="308"/>
      <c r="E28" s="312"/>
      <c r="F28" s="312"/>
      <c r="G28" s="310"/>
      <c r="H28" s="279" t="s">
        <v>72</v>
      </c>
      <c r="I28" s="310"/>
      <c r="J28" s="312"/>
      <c r="K28" s="329"/>
      <c r="L28" s="333"/>
      <c r="M28" s="324"/>
      <c r="N28" s="368"/>
      <c r="O28" s="368"/>
      <c r="Q28" s="309"/>
      <c r="W28" s="345"/>
    </row>
    <row r="29" spans="1:23" s="304" customFormat="1" x14ac:dyDescent="0.25">
      <c r="A29" s="279"/>
      <c r="B29" s="279"/>
      <c r="C29" s="279"/>
      <c r="D29" s="305" t="s">
        <v>386</v>
      </c>
      <c r="E29" s="279" t="s">
        <v>19</v>
      </c>
      <c r="F29" s="279" t="s">
        <v>329</v>
      </c>
      <c r="G29" s="281" t="s">
        <v>381</v>
      </c>
      <c r="H29" s="279" t="s">
        <v>387</v>
      </c>
      <c r="I29" s="279" t="s">
        <v>72</v>
      </c>
      <c r="J29" s="279" t="s">
        <v>5</v>
      </c>
      <c r="K29" s="326" t="s">
        <v>7</v>
      </c>
      <c r="L29" s="330" t="s">
        <v>19</v>
      </c>
      <c r="M29" s="279" t="s">
        <v>385</v>
      </c>
      <c r="N29" s="368"/>
      <c r="O29" s="368"/>
      <c r="Q29" s="309"/>
      <c r="W29" s="345"/>
    </row>
    <row r="30" spans="1:23" s="304" customFormat="1" x14ac:dyDescent="0.25">
      <c r="A30" s="279"/>
      <c r="B30" s="279" t="s">
        <v>100</v>
      </c>
      <c r="C30" s="277"/>
      <c r="D30" s="307">
        <v>0.30833333333333335</v>
      </c>
      <c r="E30" s="277"/>
      <c r="F30" s="277"/>
      <c r="G30" s="278"/>
      <c r="H30" s="279" t="s">
        <v>381</v>
      </c>
      <c r="I30" s="277"/>
      <c r="J30" s="277"/>
      <c r="K30" s="327"/>
      <c r="L30" s="330" t="s">
        <v>100</v>
      </c>
      <c r="M30" s="277"/>
      <c r="N30" s="368"/>
      <c r="O30" s="368"/>
      <c r="Q30" s="309"/>
      <c r="W30" s="345"/>
    </row>
    <row r="31" spans="1:23" s="304" customFormat="1" x14ac:dyDescent="0.25">
      <c r="A31" s="279" t="s">
        <v>100</v>
      </c>
      <c r="B31" s="279" t="s">
        <v>383</v>
      </c>
      <c r="C31" s="279" t="s">
        <v>325</v>
      </c>
      <c r="D31" s="308"/>
      <c r="E31" s="312"/>
      <c r="F31" s="312"/>
      <c r="G31" s="310"/>
      <c r="H31" s="312"/>
      <c r="I31" s="310"/>
      <c r="J31" s="312"/>
      <c r="K31" s="329"/>
      <c r="L31" s="333"/>
      <c r="M31" s="324"/>
      <c r="N31" s="368"/>
      <c r="O31" s="368"/>
      <c r="Q31" s="309"/>
      <c r="W31" s="345"/>
    </row>
    <row r="32" spans="1:23" s="279" customFormat="1" x14ac:dyDescent="0.25">
      <c r="A32" s="279">
        <v>99</v>
      </c>
      <c r="B32" s="277">
        <f>A32-A18</f>
        <v>8</v>
      </c>
      <c r="C32" s="279">
        <v>15</v>
      </c>
      <c r="D32" s="313">
        <v>0.50875000000000004</v>
      </c>
      <c r="E32" s="281">
        <v>3.0694444444444444E-2</v>
      </c>
      <c r="F32" s="278">
        <v>6.2499999999999995E-3</v>
      </c>
      <c r="G32" s="281">
        <v>2.0833333333333333E-3</v>
      </c>
      <c r="H32" s="315">
        <f t="shared" ref="H32:H44" si="7">E32+F32+G32</f>
        <v>3.9027777777777779E-2</v>
      </c>
      <c r="I32" s="281">
        <f>I18+G32+F32+E32</f>
        <v>0.46061342592592586</v>
      </c>
      <c r="J32" s="281">
        <f t="shared" ref="J32:J44" si="8">D32-I32</f>
        <v>4.8136574074074179E-2</v>
      </c>
      <c r="K32" s="326">
        <v>4.5138888888888893E-3</v>
      </c>
      <c r="L32" s="330">
        <v>1.7</v>
      </c>
      <c r="M32" s="283">
        <v>0.7104166666666667</v>
      </c>
      <c r="N32" s="367"/>
      <c r="O32" s="368"/>
      <c r="P32" s="304">
        <f t="shared" si="2"/>
        <v>8</v>
      </c>
      <c r="Q32" s="309"/>
      <c r="R32" s="309"/>
      <c r="S32" s="279">
        <v>4</v>
      </c>
      <c r="T32" s="277">
        <f t="shared" ref="T32:T37" si="9">S32*0.3</f>
        <v>1.2</v>
      </c>
      <c r="U32" s="277">
        <f t="shared" ref="U32:U44" si="10">B32-T32</f>
        <v>6.8</v>
      </c>
      <c r="W32" s="341"/>
    </row>
    <row r="33" spans="1:23" x14ac:dyDescent="0.25">
      <c r="A33" s="277">
        <v>104</v>
      </c>
      <c r="B33" s="277">
        <f t="shared" si="3"/>
        <v>5</v>
      </c>
      <c r="C33" s="277">
        <v>16</v>
      </c>
      <c r="D33" s="315">
        <v>0.53444444444444439</v>
      </c>
      <c r="E33" s="278">
        <v>1.9861111111111111E-2</v>
      </c>
      <c r="F33" s="278">
        <v>8.3333333333333332E-3</v>
      </c>
      <c r="G33" s="281">
        <v>2.0833333333333333E-3</v>
      </c>
      <c r="H33" s="315">
        <f t="shared" si="7"/>
        <v>3.0277777777777778E-2</v>
      </c>
      <c r="I33" s="281">
        <f t="shared" ref="I33:I44" si="11">I32+G33+F33+E33</f>
        <v>0.49089120370370365</v>
      </c>
      <c r="J33" s="278">
        <f t="shared" si="8"/>
        <v>4.355324074074074E-2</v>
      </c>
      <c r="K33" s="326">
        <v>4.5138888888888893E-3</v>
      </c>
      <c r="L33" s="331">
        <v>1.7</v>
      </c>
      <c r="M33" s="280">
        <v>0.74097222222222225</v>
      </c>
      <c r="P33" s="304">
        <f t="shared" si="2"/>
        <v>5</v>
      </c>
      <c r="Q33" s="309"/>
      <c r="R33" s="309"/>
      <c r="S33" s="277">
        <v>2</v>
      </c>
      <c r="T33" s="277">
        <f t="shared" si="9"/>
        <v>0.6</v>
      </c>
      <c r="U33" s="277">
        <f t="shared" si="10"/>
        <v>4.4000000000000004</v>
      </c>
    </row>
    <row r="34" spans="1:23" s="279" customFormat="1" x14ac:dyDescent="0.25">
      <c r="A34" s="279">
        <v>110</v>
      </c>
      <c r="B34" s="277">
        <f t="shared" si="3"/>
        <v>6</v>
      </c>
      <c r="C34" s="279">
        <v>17</v>
      </c>
      <c r="D34" s="313">
        <v>0.56527777777777777</v>
      </c>
      <c r="E34" s="281">
        <v>2.3020833333333334E-2</v>
      </c>
      <c r="F34" s="278">
        <v>6.2499999999999995E-3</v>
      </c>
      <c r="G34" s="281">
        <v>2.0833333333333333E-3</v>
      </c>
      <c r="H34" s="315">
        <f t="shared" si="7"/>
        <v>3.1354166666666669E-2</v>
      </c>
      <c r="I34" s="281">
        <f t="shared" si="11"/>
        <v>0.52224537037037033</v>
      </c>
      <c r="J34" s="281">
        <f t="shared" si="8"/>
        <v>4.3032407407407436E-2</v>
      </c>
      <c r="K34" s="326">
        <v>4.5138888888888893E-3</v>
      </c>
      <c r="L34" s="330">
        <v>1.7</v>
      </c>
      <c r="M34" s="283">
        <v>0.77222222222222225</v>
      </c>
      <c r="N34" s="367"/>
      <c r="O34" s="368"/>
      <c r="P34" s="304">
        <f t="shared" si="2"/>
        <v>6</v>
      </c>
      <c r="Q34" s="309"/>
      <c r="R34" s="309"/>
      <c r="S34" s="279">
        <v>3</v>
      </c>
      <c r="T34" s="277">
        <f t="shared" si="9"/>
        <v>0.89999999999999991</v>
      </c>
      <c r="U34" s="277">
        <f t="shared" si="10"/>
        <v>5.0999999999999996</v>
      </c>
      <c r="W34" s="341"/>
    </row>
    <row r="35" spans="1:23" s="304" customFormat="1" x14ac:dyDescent="0.25">
      <c r="A35" s="304">
        <v>116</v>
      </c>
      <c r="B35" s="304">
        <f t="shared" si="3"/>
        <v>6</v>
      </c>
      <c r="C35" s="304">
        <v>18</v>
      </c>
      <c r="D35" s="312">
        <v>0.59611111111111115</v>
      </c>
      <c r="E35" s="312">
        <v>2.3912037037037034E-2</v>
      </c>
      <c r="F35" s="312">
        <v>6.2499999999999995E-3</v>
      </c>
      <c r="G35" s="310">
        <v>2.0833333333333333E-3</v>
      </c>
      <c r="H35" s="312">
        <f t="shared" si="7"/>
        <v>3.2245370370370369E-2</v>
      </c>
      <c r="I35" s="312">
        <f t="shared" si="11"/>
        <v>0.55449074074074067</v>
      </c>
      <c r="J35" s="312">
        <f t="shared" si="8"/>
        <v>4.1620370370370474E-2</v>
      </c>
      <c r="K35" s="328">
        <v>4.6874999999999998E-3</v>
      </c>
      <c r="L35" s="333">
        <v>1.7</v>
      </c>
      <c r="M35" s="324">
        <v>0.8041666666666667</v>
      </c>
      <c r="N35" s="368"/>
      <c r="O35" s="368"/>
      <c r="P35" s="304">
        <f t="shared" si="2"/>
        <v>6</v>
      </c>
      <c r="Q35" s="309"/>
      <c r="R35" s="309"/>
      <c r="S35" s="304">
        <v>3</v>
      </c>
      <c r="T35" s="304">
        <f t="shared" si="9"/>
        <v>0.89999999999999991</v>
      </c>
      <c r="U35" s="304">
        <f t="shared" si="10"/>
        <v>5.0999999999999996</v>
      </c>
      <c r="W35" s="345"/>
    </row>
    <row r="36" spans="1:23" s="303" customFormat="1" x14ac:dyDescent="0.25">
      <c r="A36" s="303">
        <v>124</v>
      </c>
      <c r="B36" s="304">
        <f t="shared" si="3"/>
        <v>8</v>
      </c>
      <c r="C36" s="303">
        <v>19</v>
      </c>
      <c r="D36" s="310">
        <v>0.63722222222222225</v>
      </c>
      <c r="E36" s="310">
        <v>3.1875000000000001E-2</v>
      </c>
      <c r="F36" s="312">
        <v>6.2499999999999995E-3</v>
      </c>
      <c r="G36" s="310">
        <v>2.0833333333333333E-3</v>
      </c>
      <c r="H36" s="312">
        <f t="shared" si="7"/>
        <v>4.0208333333333332E-2</v>
      </c>
      <c r="I36" s="312">
        <f t="shared" si="11"/>
        <v>0.59469907407407396</v>
      </c>
      <c r="J36" s="310">
        <f t="shared" si="8"/>
        <v>4.2523148148148282E-2</v>
      </c>
      <c r="K36" s="328">
        <v>4.6874999999999998E-3</v>
      </c>
      <c r="L36" s="334">
        <v>1.7</v>
      </c>
      <c r="M36" s="311">
        <v>0.84444444444444444</v>
      </c>
      <c r="N36" s="367"/>
      <c r="O36" s="368"/>
      <c r="P36" s="304">
        <f t="shared" si="2"/>
        <v>8</v>
      </c>
      <c r="Q36" s="309"/>
      <c r="R36" s="311"/>
      <c r="S36" s="303">
        <v>4</v>
      </c>
      <c r="T36" s="304">
        <f t="shared" si="9"/>
        <v>1.2</v>
      </c>
      <c r="U36" s="304">
        <f t="shared" si="10"/>
        <v>6.8</v>
      </c>
      <c r="W36" s="346"/>
    </row>
    <row r="37" spans="1:23" s="304" customFormat="1" x14ac:dyDescent="0.25">
      <c r="A37" s="304">
        <v>128</v>
      </c>
      <c r="B37" s="304">
        <f t="shared" si="3"/>
        <v>4</v>
      </c>
      <c r="C37" s="304" t="s">
        <v>446</v>
      </c>
      <c r="D37" s="312">
        <v>0.65777777777777779</v>
      </c>
      <c r="E37" s="312">
        <v>1.59375E-2</v>
      </c>
      <c r="F37" s="312">
        <v>4.1666666666666666E-3</v>
      </c>
      <c r="G37" s="310">
        <v>6.9444444444444441E-3</v>
      </c>
      <c r="H37" s="312">
        <f t="shared" si="7"/>
        <v>2.704861111111111E-2</v>
      </c>
      <c r="I37" s="312">
        <f t="shared" si="11"/>
        <v>0.62174768518518508</v>
      </c>
      <c r="J37" s="312">
        <f t="shared" si="8"/>
        <v>3.6030092592592711E-2</v>
      </c>
      <c r="K37" s="328">
        <v>4.6874999999999998E-3</v>
      </c>
      <c r="L37" s="333">
        <v>1.7</v>
      </c>
      <c r="M37" s="324">
        <v>0.87152777777777779</v>
      </c>
      <c r="N37" s="368"/>
      <c r="O37" s="368"/>
      <c r="P37" s="304">
        <f t="shared" si="2"/>
        <v>4</v>
      </c>
      <c r="Q37" s="309"/>
      <c r="R37" s="309"/>
      <c r="S37" s="304">
        <v>2</v>
      </c>
      <c r="T37" s="304">
        <f t="shared" si="9"/>
        <v>0.6</v>
      </c>
      <c r="U37" s="304">
        <f t="shared" si="10"/>
        <v>3.4</v>
      </c>
      <c r="W37" s="345"/>
    </row>
    <row r="38" spans="1:23" s="279" customFormat="1" x14ac:dyDescent="0.25">
      <c r="A38" s="279">
        <v>132</v>
      </c>
      <c r="B38" s="277">
        <f t="shared" si="3"/>
        <v>4</v>
      </c>
      <c r="C38" s="279">
        <v>21</v>
      </c>
      <c r="D38" s="313">
        <v>0.67833333333333334</v>
      </c>
      <c r="E38" s="281">
        <v>1.5555555555555553E-2</v>
      </c>
      <c r="F38" s="278">
        <v>6.2499999999999995E-3</v>
      </c>
      <c r="G38" s="281">
        <v>2.0833333333333333E-3</v>
      </c>
      <c r="H38" s="315">
        <f t="shared" si="7"/>
        <v>2.3888888888888887E-2</v>
      </c>
      <c r="I38" s="281">
        <f t="shared" si="11"/>
        <v>0.64563657407407393</v>
      </c>
      <c r="J38" s="281">
        <f t="shared" si="8"/>
        <v>3.2696759259259411E-2</v>
      </c>
      <c r="K38" s="326">
        <v>4.8611111111111112E-3</v>
      </c>
      <c r="L38" s="330">
        <v>1.7</v>
      </c>
      <c r="M38" s="283">
        <v>0.8965277777777777</v>
      </c>
      <c r="N38" s="367"/>
      <c r="O38" s="368"/>
      <c r="P38" s="304">
        <f t="shared" si="2"/>
        <v>4</v>
      </c>
      <c r="Q38" s="309"/>
      <c r="R38" s="311"/>
      <c r="S38" s="279">
        <v>2</v>
      </c>
      <c r="T38" s="277">
        <f>S38*0.4</f>
        <v>0.8</v>
      </c>
      <c r="U38" s="277">
        <f t="shared" si="10"/>
        <v>3.2</v>
      </c>
      <c r="W38" s="341"/>
    </row>
    <row r="39" spans="1:23" x14ac:dyDescent="0.25">
      <c r="A39" s="277">
        <v>139</v>
      </c>
      <c r="B39" s="277">
        <f t="shared" si="3"/>
        <v>7</v>
      </c>
      <c r="C39" s="277">
        <v>22</v>
      </c>
      <c r="D39" s="315">
        <v>0.71430555555555564</v>
      </c>
      <c r="E39" s="278">
        <v>2.8194444444444442E-2</v>
      </c>
      <c r="F39" s="278">
        <v>8.3333333333333332E-3</v>
      </c>
      <c r="G39" s="281">
        <v>2.0833333333333333E-3</v>
      </c>
      <c r="H39" s="315">
        <f t="shared" si="7"/>
        <v>3.861111111111111E-2</v>
      </c>
      <c r="I39" s="281">
        <f t="shared" si="11"/>
        <v>0.68424768518518497</v>
      </c>
      <c r="J39" s="278">
        <f t="shared" si="8"/>
        <v>3.0057870370370665E-2</v>
      </c>
      <c r="K39" s="326">
        <v>4.8611111111111112E-3</v>
      </c>
      <c r="L39" s="331">
        <v>1.6</v>
      </c>
      <c r="M39" s="280">
        <v>0.93541666666666667</v>
      </c>
      <c r="P39" s="304">
        <f t="shared" si="2"/>
        <v>7</v>
      </c>
      <c r="Q39" s="309"/>
      <c r="R39" s="311"/>
      <c r="S39" s="277">
        <v>3</v>
      </c>
      <c r="T39" s="277">
        <f>S39*0.4</f>
        <v>1.2000000000000002</v>
      </c>
      <c r="U39" s="277">
        <f t="shared" si="10"/>
        <v>5.8</v>
      </c>
    </row>
    <row r="40" spans="1:23" s="279" customFormat="1" x14ac:dyDescent="0.25">
      <c r="A40" s="279">
        <v>143</v>
      </c>
      <c r="B40" s="277">
        <f t="shared" si="3"/>
        <v>4</v>
      </c>
      <c r="C40" s="279">
        <v>23</v>
      </c>
      <c r="D40" s="313">
        <v>0.73486111111111108</v>
      </c>
      <c r="E40" s="281">
        <v>1.5555555555555553E-2</v>
      </c>
      <c r="F40" s="278">
        <v>8.3333333333333332E-3</v>
      </c>
      <c r="G40" s="281">
        <v>2.0833333333333333E-3</v>
      </c>
      <c r="H40" s="315">
        <f t="shared" si="7"/>
        <v>2.5972222222222219E-2</v>
      </c>
      <c r="I40" s="281">
        <f t="shared" si="11"/>
        <v>0.71021990740740715</v>
      </c>
      <c r="J40" s="281">
        <f t="shared" si="8"/>
        <v>2.4641203703703929E-2</v>
      </c>
      <c r="K40" s="326">
        <v>4.8611111111111112E-3</v>
      </c>
      <c r="L40" s="330">
        <v>1.6</v>
      </c>
      <c r="M40" s="283">
        <v>0.96250000000000002</v>
      </c>
      <c r="N40" s="367"/>
      <c r="O40" s="368"/>
      <c r="P40" s="304">
        <f t="shared" si="2"/>
        <v>4</v>
      </c>
      <c r="Q40" s="309"/>
      <c r="R40" s="311"/>
      <c r="S40" s="279">
        <v>2</v>
      </c>
      <c r="T40" s="277">
        <f>S40*0.4</f>
        <v>0.8</v>
      </c>
      <c r="U40" s="277">
        <f t="shared" si="10"/>
        <v>3.2</v>
      </c>
      <c r="W40" s="341"/>
    </row>
    <row r="41" spans="1:23" x14ac:dyDescent="0.25">
      <c r="A41" s="277">
        <v>149</v>
      </c>
      <c r="B41" s="277">
        <f t="shared" si="3"/>
        <v>6</v>
      </c>
      <c r="C41" s="277">
        <v>24</v>
      </c>
      <c r="D41" s="315">
        <v>0.76569444444444434</v>
      </c>
      <c r="E41" s="278">
        <v>2.3333333333333334E-2</v>
      </c>
      <c r="F41" s="278">
        <v>8.3333333333333332E-3</v>
      </c>
      <c r="G41" s="281">
        <v>2.0833333333333333E-3</v>
      </c>
      <c r="H41" s="315">
        <f t="shared" si="7"/>
        <v>3.3750000000000002E-2</v>
      </c>
      <c r="I41" s="281">
        <f t="shared" si="11"/>
        <v>0.74396990740740709</v>
      </c>
      <c r="J41" s="278">
        <f t="shared" si="8"/>
        <v>2.172453703703725E-2</v>
      </c>
      <c r="K41" s="326">
        <v>4.8611111111111112E-3</v>
      </c>
      <c r="L41" s="331">
        <v>1.6</v>
      </c>
      <c r="M41" s="280">
        <v>0.99652777777777779</v>
      </c>
      <c r="P41" s="304">
        <f t="shared" si="2"/>
        <v>6</v>
      </c>
      <c r="Q41" s="309"/>
      <c r="R41" s="311"/>
      <c r="S41" s="277">
        <v>3</v>
      </c>
      <c r="T41" s="277">
        <f>S41*0.4</f>
        <v>1.2000000000000002</v>
      </c>
      <c r="U41" s="277">
        <f t="shared" si="10"/>
        <v>4.8</v>
      </c>
    </row>
    <row r="42" spans="1:23" s="303" customFormat="1" x14ac:dyDescent="0.25">
      <c r="A42" s="303">
        <v>154</v>
      </c>
      <c r="B42" s="304">
        <f t="shared" si="3"/>
        <v>5</v>
      </c>
      <c r="C42" s="303">
        <v>25</v>
      </c>
      <c r="D42" s="310">
        <v>0.79138888888888881</v>
      </c>
      <c r="E42" s="310">
        <v>2.013888888888889E-2</v>
      </c>
      <c r="F42" s="312">
        <v>8.3333333333333332E-3</v>
      </c>
      <c r="G42" s="310">
        <v>2.0833333333333333E-3</v>
      </c>
      <c r="H42" s="312">
        <f t="shared" si="7"/>
        <v>3.0555555555555558E-2</v>
      </c>
      <c r="I42" s="310">
        <f t="shared" si="11"/>
        <v>0.77452546296296265</v>
      </c>
      <c r="J42" s="310">
        <f t="shared" si="8"/>
        <v>1.6863425925926157E-2</v>
      </c>
      <c r="K42" s="329">
        <v>5.0347222222222225E-3</v>
      </c>
      <c r="L42" s="334">
        <v>1.6</v>
      </c>
      <c r="M42" s="311">
        <v>2.8472222222222222E-2</v>
      </c>
      <c r="N42" s="367"/>
      <c r="O42" s="368"/>
      <c r="P42" s="304">
        <f t="shared" si="2"/>
        <v>5</v>
      </c>
      <c r="Q42" s="309"/>
      <c r="R42" s="311"/>
      <c r="S42" s="303">
        <v>2</v>
      </c>
      <c r="T42" s="304">
        <f>S42*0.5</f>
        <v>1</v>
      </c>
      <c r="U42" s="304">
        <f t="shared" si="10"/>
        <v>4</v>
      </c>
      <c r="W42" s="346"/>
    </row>
    <row r="43" spans="1:23" s="304" customFormat="1" x14ac:dyDescent="0.25">
      <c r="A43" s="304">
        <v>157</v>
      </c>
      <c r="B43" s="304">
        <f t="shared" si="3"/>
        <v>3</v>
      </c>
      <c r="C43" s="304">
        <v>26</v>
      </c>
      <c r="D43" s="312">
        <v>0.80680555555555555</v>
      </c>
      <c r="E43" s="312">
        <v>1.2592592592592593E-2</v>
      </c>
      <c r="F43" s="312">
        <v>6.9444444444444441E-3</v>
      </c>
      <c r="G43" s="310">
        <v>2.0833333333333333E-3</v>
      </c>
      <c r="H43" s="312">
        <f t="shared" si="7"/>
        <v>2.162037037037037E-2</v>
      </c>
      <c r="I43" s="310">
        <f t="shared" si="11"/>
        <v>0.796145833333333</v>
      </c>
      <c r="J43" s="312">
        <f t="shared" si="8"/>
        <v>1.0659722222222556E-2</v>
      </c>
      <c r="K43" s="329">
        <v>5.0347222222222225E-3</v>
      </c>
      <c r="L43" s="333">
        <v>1.5</v>
      </c>
      <c r="M43" s="324">
        <v>5.1388888888888894E-2</v>
      </c>
      <c r="N43" s="368"/>
      <c r="O43" s="368"/>
      <c r="P43" s="304">
        <f t="shared" si="2"/>
        <v>3</v>
      </c>
      <c r="Q43" s="309"/>
      <c r="R43" s="311"/>
      <c r="S43" s="304">
        <v>1</v>
      </c>
      <c r="T43" s="304">
        <f>S43*0.5</f>
        <v>0.5</v>
      </c>
      <c r="U43" s="304">
        <f t="shared" si="10"/>
        <v>2.5</v>
      </c>
      <c r="W43" s="345"/>
    </row>
    <row r="44" spans="1:23" s="279" customFormat="1" x14ac:dyDescent="0.25">
      <c r="A44" s="317">
        <v>161</v>
      </c>
      <c r="B44" s="317">
        <v>4</v>
      </c>
      <c r="C44" s="317"/>
      <c r="D44" s="319">
        <v>0.8273611111111111</v>
      </c>
      <c r="E44" s="319">
        <v>1.5104166666666667E-2</v>
      </c>
      <c r="F44" s="320">
        <v>6.9444444444444441E-3</v>
      </c>
      <c r="G44" s="319">
        <v>2.0833333333333333E-3</v>
      </c>
      <c r="H44" s="320">
        <f t="shared" si="7"/>
        <v>2.4131944444444442E-2</v>
      </c>
      <c r="I44" s="319">
        <f t="shared" si="11"/>
        <v>0.82027777777777744</v>
      </c>
      <c r="J44" s="320">
        <f t="shared" si="8"/>
        <v>7.0833333333336634E-3</v>
      </c>
      <c r="K44" s="347">
        <v>5.0347222222222225E-3</v>
      </c>
      <c r="L44" s="348">
        <v>1.5</v>
      </c>
      <c r="M44" s="349">
        <v>7.7083333333333337E-2</v>
      </c>
      <c r="N44" s="369"/>
      <c r="O44" s="370"/>
      <c r="P44" s="318">
        <f t="shared" si="2"/>
        <v>4</v>
      </c>
      <c r="Q44" s="349"/>
      <c r="R44" s="349"/>
      <c r="S44" s="317">
        <v>2</v>
      </c>
      <c r="T44" s="318">
        <f>S44*0.5</f>
        <v>1</v>
      </c>
      <c r="U44" s="318">
        <f t="shared" si="10"/>
        <v>3</v>
      </c>
      <c r="W44" s="341"/>
    </row>
    <row r="45" spans="1:23" x14ac:dyDescent="0.25">
      <c r="D45" s="363">
        <v>0.8273611111111111</v>
      </c>
      <c r="E45" s="316">
        <f>SUM(E5:E44)</f>
        <v>0.61611111111111105</v>
      </c>
      <c r="F45" s="316">
        <f>SUM(F5:F44)</f>
        <v>0.14375000000000002</v>
      </c>
      <c r="G45" s="278">
        <f>SUM(G5:G44)</f>
        <v>6.0416666666666653E-2</v>
      </c>
      <c r="H45" s="316">
        <f>SUM(H5:H44)</f>
        <v>0.82027777777777766</v>
      </c>
      <c r="I45" s="316">
        <f>E45+F45+G45</f>
        <v>0.82027777777777777</v>
      </c>
      <c r="Q45" s="314" t="e">
        <f>AVERAGE(Q5:Q44)</f>
        <v>#DIV/0!</v>
      </c>
      <c r="S45" s="303">
        <f>SUM(S3:S44)</f>
        <v>65</v>
      </c>
      <c r="T45" s="303">
        <f>SUM(T3:T44)</f>
        <v>19.5</v>
      </c>
      <c r="U45" s="303">
        <f>SUM(U3:U44)</f>
        <v>141.49999999999997</v>
      </c>
    </row>
    <row r="46" spans="1:23" x14ac:dyDescent="0.25">
      <c r="S46" s="304"/>
      <c r="T46" s="304"/>
      <c r="U46" s="304"/>
    </row>
    <row r="47" spans="1:23" x14ac:dyDescent="0.25">
      <c r="D47" s="303"/>
      <c r="E47" s="303"/>
      <c r="F47" s="285"/>
      <c r="I47" s="279"/>
      <c r="J47" s="279"/>
      <c r="K47" s="326"/>
    </row>
    <row r="48" spans="1:23" x14ac:dyDescent="0.25">
      <c r="D48" s="279"/>
      <c r="E48" s="335"/>
      <c r="F48" s="285"/>
      <c r="H48" s="312"/>
    </row>
    <row r="49" spans="4:11" x14ac:dyDescent="0.25">
      <c r="D49" s="303"/>
      <c r="E49" s="310"/>
      <c r="F49" s="285"/>
      <c r="H49" s="312"/>
    </row>
    <row r="50" spans="4:11" x14ac:dyDescent="0.25">
      <c r="D50" s="279"/>
      <c r="E50" s="365"/>
      <c r="F50" s="285"/>
      <c r="I50" s="303"/>
      <c r="J50" s="303"/>
      <c r="K50" s="329"/>
    </row>
    <row r="51" spans="4:11" x14ac:dyDescent="0.25">
      <c r="D51" s="303"/>
      <c r="E51" s="303"/>
      <c r="F51" s="285"/>
    </row>
    <row r="52" spans="4:11" x14ac:dyDescent="0.25">
      <c r="D52" s="279"/>
      <c r="E52" s="365"/>
      <c r="F52" s="285"/>
      <c r="I52" s="279"/>
      <c r="J52" s="279"/>
      <c r="K52" s="326"/>
    </row>
    <row r="53" spans="4:11" x14ac:dyDescent="0.25">
      <c r="D53" s="303"/>
      <c r="E53" s="303"/>
      <c r="F53" s="285"/>
      <c r="I53" s="303"/>
      <c r="J53" s="303"/>
      <c r="K53" s="329"/>
    </row>
    <row r="55" spans="4:11" x14ac:dyDescent="0.25">
      <c r="I55" s="280"/>
      <c r="J55" s="280"/>
    </row>
    <row r="56" spans="4:11" x14ac:dyDescent="0.25">
      <c r="J56" s="280"/>
    </row>
  </sheetData>
  <printOptions gridLines="1"/>
  <pageMargins left="0" right="0" top="0.74803149606299213" bottom="0.55118110236220474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J20"/>
  <sheetViews>
    <sheetView workbookViewId="0">
      <selection activeCell="E8" sqref="E8"/>
    </sheetView>
  </sheetViews>
  <sheetFormatPr defaultRowHeight="15" x14ac:dyDescent="0.25"/>
  <sheetData>
    <row r="13" spans="4:7" x14ac:dyDescent="0.25">
      <c r="D13" t="s">
        <v>94</v>
      </c>
      <c r="E13">
        <v>1640</v>
      </c>
      <c r="F13">
        <f>E13/5</f>
        <v>328</v>
      </c>
    </row>
    <row r="16" spans="4:7" x14ac:dyDescent="0.25">
      <c r="E16" t="s">
        <v>19</v>
      </c>
      <c r="F16" t="s">
        <v>94</v>
      </c>
      <c r="G16" t="s">
        <v>76</v>
      </c>
    </row>
    <row r="17" spans="4:10" x14ac:dyDescent="0.25">
      <c r="D17" t="s">
        <v>92</v>
      </c>
      <c r="E17">
        <f>8*7.45</f>
        <v>59.6</v>
      </c>
      <c r="F17">
        <f>3*F13</f>
        <v>984</v>
      </c>
      <c r="G17">
        <v>160</v>
      </c>
      <c r="J17">
        <f>SUM(E17:I17)</f>
        <v>1203.5999999999999</v>
      </c>
    </row>
    <row r="18" spans="4:10" x14ac:dyDescent="0.25">
      <c r="D18" t="s">
        <v>93</v>
      </c>
      <c r="E18">
        <f>36*7.45</f>
        <v>268.2</v>
      </c>
      <c r="F18">
        <f>2*F13</f>
        <v>656</v>
      </c>
      <c r="G18">
        <v>160</v>
      </c>
      <c r="J18">
        <f>SUM(E18:I18)</f>
        <v>1084.2</v>
      </c>
    </row>
    <row r="20" spans="4:10" x14ac:dyDescent="0.25">
      <c r="J20">
        <f>SUM(J17:J19)</f>
        <v>2287.8000000000002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8"/>
  <sheetViews>
    <sheetView zoomScaleNormal="100" workbookViewId="0">
      <pane ySplit="1" topLeftCell="A23" activePane="bottomLeft" state="frozen"/>
      <selection pane="bottomLeft" activeCell="S47" sqref="S47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8.140625" customWidth="1"/>
    <col min="5" max="5" width="8.140625" style="13" customWidth="1"/>
    <col min="6" max="6" width="8.140625" customWidth="1"/>
    <col min="7" max="7" width="8.140625" style="13" customWidth="1"/>
    <col min="8" max="9" width="8.140625" customWidth="1"/>
    <col min="10" max="10" width="8.140625" style="13" customWidth="1"/>
    <col min="11" max="11" width="8.140625" customWidth="1"/>
    <col min="12" max="12" width="8.140625" style="13" customWidth="1"/>
    <col min="13" max="13" width="8.140625" customWidth="1"/>
    <col min="14" max="15" width="8.140625" style="46" customWidth="1"/>
    <col min="16" max="16" width="8.140625" style="30" customWidth="1"/>
    <col min="17" max="17" width="8.140625" style="41" customWidth="1"/>
    <col min="18" max="18" width="8.140625" customWidth="1"/>
    <col min="19" max="19" width="8.140625" style="13" customWidth="1"/>
    <col min="20" max="21" width="8.140625" customWidth="1"/>
    <col min="22" max="22" width="8.140625" style="13" customWidth="1"/>
    <col min="23" max="23" width="8.140625" customWidth="1"/>
    <col min="24" max="24" width="8.140625" style="13" customWidth="1"/>
    <col min="25" max="25" width="8.140625" customWidth="1"/>
    <col min="26" max="26" width="6.28515625" customWidth="1"/>
    <col min="27" max="27" width="8.140625" style="13" customWidth="1"/>
    <col min="28" max="28" width="6.5703125" style="13" bestFit="1" customWidth="1"/>
    <col min="29" max="29" width="8.140625" style="13" bestFit="1" customWidth="1"/>
    <col min="30" max="30" width="8.140625" customWidth="1"/>
    <col min="31" max="31" width="8.140625" style="9" customWidth="1"/>
    <col min="32" max="32" width="8.140625" customWidth="1"/>
    <col min="33" max="33" width="8.140625" style="9" customWidth="1"/>
    <col min="34" max="34" width="8.140625" customWidth="1"/>
    <col min="35" max="35" width="8.140625" style="9" customWidth="1"/>
    <col min="36" max="36" width="8.140625" customWidth="1"/>
    <col min="37" max="39" width="8.140625" style="9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10.42578125" bestFit="1" customWidth="1"/>
    <col min="45" max="57" width="8.140625" customWidth="1"/>
  </cols>
  <sheetData>
    <row r="1" spans="1:43" s="6" customFormat="1" x14ac:dyDescent="0.25">
      <c r="D1" s="7" t="s">
        <v>1</v>
      </c>
      <c r="E1" s="12" t="s">
        <v>4</v>
      </c>
      <c r="F1" s="6" t="s">
        <v>7</v>
      </c>
      <c r="G1" s="12" t="s">
        <v>4</v>
      </c>
      <c r="H1" s="8" t="s">
        <v>8</v>
      </c>
      <c r="I1" s="6" t="s">
        <v>16</v>
      </c>
      <c r="J1" s="12" t="s">
        <v>4</v>
      </c>
      <c r="K1" s="6" t="s">
        <v>7</v>
      </c>
      <c r="L1" s="12" t="s">
        <v>4</v>
      </c>
      <c r="M1" s="10" t="s">
        <v>8</v>
      </c>
      <c r="N1" s="43" t="s">
        <v>20</v>
      </c>
      <c r="O1" s="82" t="s">
        <v>42</v>
      </c>
      <c r="P1" s="29" t="s">
        <v>2</v>
      </c>
      <c r="Q1" s="40" t="s">
        <v>4</v>
      </c>
      <c r="R1" s="6" t="s">
        <v>7</v>
      </c>
      <c r="S1" s="12" t="s">
        <v>4</v>
      </c>
      <c r="T1" s="8" t="s">
        <v>8</v>
      </c>
      <c r="U1" s="6" t="s">
        <v>45</v>
      </c>
      <c r="V1" s="12" t="s">
        <v>7</v>
      </c>
      <c r="W1" s="8" t="s">
        <v>8</v>
      </c>
      <c r="X1" s="12" t="s">
        <v>19</v>
      </c>
      <c r="Y1" s="9" t="s">
        <v>6</v>
      </c>
      <c r="Z1" s="9" t="s">
        <v>5</v>
      </c>
      <c r="AA1" s="12" t="s">
        <v>8</v>
      </c>
      <c r="AB1" s="6" t="s">
        <v>25</v>
      </c>
      <c r="AC1" s="6" t="s">
        <v>22</v>
      </c>
      <c r="AD1" s="7" t="s">
        <v>9</v>
      </c>
      <c r="AE1" s="9" t="s">
        <v>5</v>
      </c>
      <c r="AF1" s="6" t="s">
        <v>40</v>
      </c>
      <c r="AG1" s="9" t="s">
        <v>5</v>
      </c>
      <c r="AH1" s="6" t="s">
        <v>11</v>
      </c>
      <c r="AI1" s="9" t="s">
        <v>5</v>
      </c>
      <c r="AJ1" s="6" t="s">
        <v>12</v>
      </c>
      <c r="AK1" s="9" t="s">
        <v>5</v>
      </c>
      <c r="AL1" s="6" t="s">
        <v>39</v>
      </c>
      <c r="AM1" s="9" t="s">
        <v>5</v>
      </c>
      <c r="AN1" s="6" t="s">
        <v>13</v>
      </c>
      <c r="AO1" s="9" t="s">
        <v>5</v>
      </c>
      <c r="AP1" s="6" t="s">
        <v>41</v>
      </c>
      <c r="AQ1" s="37" t="s">
        <v>5</v>
      </c>
    </row>
    <row r="2" spans="1:43" x14ac:dyDescent="0.25">
      <c r="B2" s="1" t="s">
        <v>0</v>
      </c>
      <c r="C2" s="81">
        <v>41204</v>
      </c>
      <c r="D2" s="3">
        <v>10</v>
      </c>
      <c r="E2" s="13">
        <v>13.16</v>
      </c>
      <c r="F2" s="2">
        <v>0.22291666666666665</v>
      </c>
      <c r="G2" s="14">
        <v>0.21458333333333335</v>
      </c>
      <c r="H2" s="15">
        <v>4.7141203703703706E-2</v>
      </c>
      <c r="M2" s="11"/>
      <c r="N2" s="44"/>
      <c r="O2" s="26"/>
      <c r="T2" s="4"/>
      <c r="W2" s="4"/>
      <c r="X2" s="13">
        <f t="shared" ref="X2:X52" si="0">E2+J2+Q2+U2+N2</f>
        <v>13.16</v>
      </c>
      <c r="Y2" s="87">
        <f>D2+I2+Q2+U2</f>
        <v>10</v>
      </c>
      <c r="Z2" s="27">
        <f t="shared" ref="Z2:Z52" si="1">X2-Y2</f>
        <v>3.16</v>
      </c>
      <c r="AA2" s="14">
        <f t="shared" ref="AA2:AA53" si="2">H2+M2+T2+W2</f>
        <v>4.7141203703703706E-2</v>
      </c>
      <c r="AB2" s="32"/>
      <c r="AC2"/>
      <c r="AD2" s="3">
        <v>79.7</v>
      </c>
      <c r="AF2">
        <v>41</v>
      </c>
      <c r="AH2">
        <v>58</v>
      </c>
      <c r="AJ2">
        <v>93</v>
      </c>
      <c r="AL2">
        <v>102</v>
      </c>
      <c r="AN2">
        <v>30</v>
      </c>
      <c r="AP2">
        <v>41</v>
      </c>
      <c r="AQ2" s="39"/>
    </row>
    <row r="3" spans="1:43" x14ac:dyDescent="0.25">
      <c r="B3" s="1" t="s">
        <v>29</v>
      </c>
      <c r="C3" s="81">
        <v>41208</v>
      </c>
      <c r="D3" s="3">
        <v>10</v>
      </c>
      <c r="E3" s="13">
        <v>10.67</v>
      </c>
      <c r="F3" s="2">
        <v>0.22291666666666665</v>
      </c>
      <c r="G3" s="14">
        <v>0.20069444444444443</v>
      </c>
      <c r="H3" s="15">
        <v>3.5706018518518519E-2</v>
      </c>
      <c r="M3" s="11"/>
      <c r="N3" s="44"/>
      <c r="O3" s="26"/>
      <c r="T3" s="4"/>
      <c r="W3" s="4"/>
      <c r="X3" s="13">
        <f t="shared" si="0"/>
        <v>10.67</v>
      </c>
      <c r="Y3" s="87">
        <f t="shared" ref="Y3:Y52" si="3">D3+I3+Q3+U3</f>
        <v>10</v>
      </c>
      <c r="Z3" s="27">
        <f t="shared" si="1"/>
        <v>0.66999999999999993</v>
      </c>
      <c r="AA3" s="14">
        <f>H3+M3+T3+W3+O3</f>
        <v>3.5706018518518519E-2</v>
      </c>
      <c r="AB3" s="32"/>
      <c r="AC3"/>
      <c r="AD3" s="3"/>
      <c r="AL3"/>
      <c r="AQ3" s="37"/>
    </row>
    <row r="4" spans="1:43" x14ac:dyDescent="0.25">
      <c r="A4" s="25">
        <v>4</v>
      </c>
      <c r="B4" s="1" t="s">
        <v>18</v>
      </c>
      <c r="C4" s="81">
        <v>41209</v>
      </c>
      <c r="D4" s="3">
        <v>14</v>
      </c>
      <c r="E4" s="13">
        <v>11.31</v>
      </c>
      <c r="F4" s="2">
        <v>0.22291666666666665</v>
      </c>
      <c r="G4" s="14">
        <v>0.19583333333333333</v>
      </c>
      <c r="H4" s="15">
        <v>3.6921296296296292E-2</v>
      </c>
      <c r="K4" s="2"/>
      <c r="L4" s="14"/>
      <c r="M4" s="26"/>
      <c r="N4" s="44"/>
      <c r="O4" s="26"/>
      <c r="R4" s="2"/>
      <c r="S4" s="14"/>
      <c r="T4" s="47"/>
      <c r="W4" s="4"/>
      <c r="X4" s="13">
        <f t="shared" si="0"/>
        <v>11.31</v>
      </c>
      <c r="Y4" s="87">
        <f t="shared" si="3"/>
        <v>14</v>
      </c>
      <c r="Z4" s="27">
        <f t="shared" si="1"/>
        <v>-2.6899999999999995</v>
      </c>
      <c r="AA4" s="14">
        <f>H4+M4+T4+W4+O4</f>
        <v>3.6921296296296292E-2</v>
      </c>
      <c r="AB4" s="32"/>
      <c r="AC4"/>
      <c r="AD4" s="3"/>
      <c r="AL4"/>
      <c r="AQ4" s="37"/>
    </row>
    <row r="5" spans="1:43" x14ac:dyDescent="0.25">
      <c r="A5" s="18"/>
      <c r="B5" s="17" t="s">
        <v>27</v>
      </c>
      <c r="C5" s="85">
        <v>41210</v>
      </c>
      <c r="D5" s="19">
        <v>18</v>
      </c>
      <c r="E5" s="20">
        <v>17.91</v>
      </c>
      <c r="F5" s="21">
        <v>0.22291666666666665</v>
      </c>
      <c r="G5" s="22">
        <v>0.20138888888888887</v>
      </c>
      <c r="H5" s="23">
        <v>6.0011574074074071E-2</v>
      </c>
      <c r="I5" s="18"/>
      <c r="J5" s="20"/>
      <c r="K5" s="18"/>
      <c r="L5" s="20"/>
      <c r="M5" s="18"/>
      <c r="N5" s="45"/>
      <c r="O5" s="84"/>
      <c r="P5" s="31"/>
      <c r="Q5" s="42"/>
      <c r="R5" s="18"/>
      <c r="S5" s="20"/>
      <c r="T5" s="24"/>
      <c r="U5" s="18"/>
      <c r="V5" s="20"/>
      <c r="W5" s="24"/>
      <c r="X5" s="28">
        <f t="shared" si="0"/>
        <v>17.91</v>
      </c>
      <c r="Y5" s="88">
        <f t="shared" si="3"/>
        <v>18</v>
      </c>
      <c r="Z5" s="18">
        <f t="shared" si="1"/>
        <v>-8.9999999999999858E-2</v>
      </c>
      <c r="AA5" s="22">
        <f t="shared" si="2"/>
        <v>6.0011574074074071E-2</v>
      </c>
      <c r="AB5" s="33">
        <f>SUM(X2:X5)</f>
        <v>53.05</v>
      </c>
      <c r="AC5" s="21">
        <f>SUM(AA2:AA5)</f>
        <v>0.17978009259259259</v>
      </c>
      <c r="AD5" s="19"/>
      <c r="AE5" s="36"/>
      <c r="AF5" s="18"/>
      <c r="AG5" s="36"/>
      <c r="AH5" s="18"/>
      <c r="AI5" s="36"/>
      <c r="AJ5" s="18"/>
      <c r="AK5" s="36"/>
      <c r="AL5" s="18"/>
      <c r="AM5" s="36"/>
      <c r="AN5" s="18"/>
      <c r="AO5" s="36"/>
      <c r="AP5" s="18"/>
      <c r="AQ5" s="38"/>
    </row>
    <row r="6" spans="1:43" x14ac:dyDescent="0.25">
      <c r="B6" s="1" t="s">
        <v>24</v>
      </c>
      <c r="C6" s="81">
        <v>41212</v>
      </c>
      <c r="D6" s="3"/>
      <c r="F6" s="2"/>
      <c r="G6" s="14"/>
      <c r="H6" s="47"/>
      <c r="I6">
        <v>6</v>
      </c>
      <c r="J6" s="13">
        <v>6.4</v>
      </c>
      <c r="K6" s="2">
        <v>0.22291666666666665</v>
      </c>
      <c r="L6" s="14">
        <v>0.20833333333333334</v>
      </c>
      <c r="M6" s="26">
        <v>2.225694444444444E-2</v>
      </c>
      <c r="N6" s="44">
        <v>2.2200000000000002</v>
      </c>
      <c r="O6" s="26">
        <v>1.0416666666666666E-2</v>
      </c>
      <c r="P6" s="30" t="s">
        <v>43</v>
      </c>
      <c r="Q6" s="41">
        <v>5</v>
      </c>
      <c r="R6" s="2">
        <v>0.16458333333333333</v>
      </c>
      <c r="S6" s="14">
        <v>0.16250000000000001</v>
      </c>
      <c r="T6" s="15">
        <v>1.3564814814814816E-2</v>
      </c>
      <c r="W6" s="4"/>
      <c r="X6" s="13">
        <f t="shared" si="0"/>
        <v>13.620000000000001</v>
      </c>
      <c r="Y6" s="87">
        <f>D6+I6+Q6+U6+N6</f>
        <v>13.22</v>
      </c>
      <c r="Z6" s="27">
        <f t="shared" si="1"/>
        <v>0.40000000000000036</v>
      </c>
      <c r="AA6" s="14">
        <f>H6+M6+T6+W6+O6</f>
        <v>4.6238425925925919E-2</v>
      </c>
      <c r="AB6" s="32"/>
      <c r="AC6"/>
      <c r="AD6" s="3">
        <v>80.400000000000006</v>
      </c>
      <c r="AE6" s="9">
        <f>$AD$2-AD6</f>
        <v>-0.70000000000000284</v>
      </c>
      <c r="AF6">
        <v>40</v>
      </c>
      <c r="AG6" s="9">
        <f>$AF$2-AF6</f>
        <v>1</v>
      </c>
      <c r="AH6">
        <v>58</v>
      </c>
      <c r="AI6" s="9">
        <f>$AH$2-AH6</f>
        <v>0</v>
      </c>
      <c r="AJ6">
        <v>92</v>
      </c>
      <c r="AK6" s="9">
        <f>$AJ$2-AJ6</f>
        <v>1</v>
      </c>
      <c r="AL6">
        <v>99</v>
      </c>
      <c r="AM6" s="9">
        <f>$AL$2-AL6</f>
        <v>3</v>
      </c>
      <c r="AN6">
        <v>29</v>
      </c>
      <c r="AO6" s="9">
        <f>$AN$2-AN6</f>
        <v>1</v>
      </c>
      <c r="AP6">
        <v>41</v>
      </c>
      <c r="AQ6" s="37">
        <f>$AP$2-AP6</f>
        <v>0</v>
      </c>
    </row>
    <row r="7" spans="1:43" x14ac:dyDescent="0.25">
      <c r="B7" s="1" t="s">
        <v>26</v>
      </c>
      <c r="C7" s="81">
        <v>41214</v>
      </c>
      <c r="D7" s="3">
        <v>12</v>
      </c>
      <c r="E7" s="13">
        <v>11.99</v>
      </c>
      <c r="F7" s="2">
        <v>0.22291666666666665</v>
      </c>
      <c r="G7" s="14">
        <v>0.20277777777777781</v>
      </c>
      <c r="H7" s="47">
        <v>4.0532407407407406E-2</v>
      </c>
      <c r="K7" s="2"/>
      <c r="L7" s="14"/>
      <c r="M7" s="26"/>
      <c r="N7" s="44"/>
      <c r="O7" s="26"/>
      <c r="R7" s="2"/>
      <c r="S7" s="14"/>
      <c r="T7" s="15"/>
      <c r="W7" s="4"/>
      <c r="X7" s="13">
        <f t="shared" si="0"/>
        <v>11.99</v>
      </c>
      <c r="Y7" s="87">
        <f t="shared" si="3"/>
        <v>12</v>
      </c>
      <c r="Z7" s="27">
        <f t="shared" si="1"/>
        <v>-9.9999999999997868E-3</v>
      </c>
      <c r="AA7" s="14">
        <f>H7+M7+T7+W7+O7</f>
        <v>4.0532407407407406E-2</v>
      </c>
      <c r="AB7" s="32"/>
      <c r="AC7"/>
      <c r="AD7" s="3"/>
      <c r="AL7"/>
      <c r="AQ7" s="37"/>
    </row>
    <row r="8" spans="1:43" x14ac:dyDescent="0.25">
      <c r="A8" s="6">
        <v>5</v>
      </c>
      <c r="B8" s="1" t="s">
        <v>29</v>
      </c>
      <c r="C8" s="81">
        <v>41215</v>
      </c>
      <c r="D8" s="3">
        <v>16</v>
      </c>
      <c r="E8" s="13">
        <v>16</v>
      </c>
      <c r="F8" s="2">
        <v>0.22291666666666665</v>
      </c>
      <c r="G8" s="14">
        <v>0.19999999999999998</v>
      </c>
      <c r="H8" s="15">
        <v>5.3240740740740734E-2</v>
      </c>
      <c r="K8" s="2"/>
      <c r="L8" s="14"/>
      <c r="M8" s="26"/>
      <c r="N8" s="44"/>
      <c r="O8" s="26"/>
      <c r="R8" s="2"/>
      <c r="S8" s="14"/>
      <c r="T8" s="15"/>
      <c r="W8" s="4"/>
      <c r="X8" s="13">
        <f t="shared" si="0"/>
        <v>16</v>
      </c>
      <c r="Y8" s="87">
        <f t="shared" si="3"/>
        <v>16</v>
      </c>
      <c r="Z8" s="27">
        <f t="shared" si="1"/>
        <v>0</v>
      </c>
      <c r="AA8" s="14">
        <f t="shared" si="2"/>
        <v>5.3240740740740734E-2</v>
      </c>
      <c r="AB8" s="32"/>
      <c r="AC8"/>
      <c r="AD8" s="3"/>
      <c r="AL8"/>
      <c r="AQ8" s="37"/>
    </row>
    <row r="9" spans="1:43" x14ac:dyDescent="0.25">
      <c r="A9" s="56"/>
      <c r="B9" s="17" t="s">
        <v>18</v>
      </c>
      <c r="C9" s="85">
        <v>41216</v>
      </c>
      <c r="D9" s="19">
        <v>24</v>
      </c>
      <c r="E9" s="20">
        <v>26.16</v>
      </c>
      <c r="F9" s="21">
        <v>0.22291666666666665</v>
      </c>
      <c r="G9" s="22">
        <v>0.19999999999999998</v>
      </c>
      <c r="H9" s="23">
        <v>8.7326388888888884E-2</v>
      </c>
      <c r="I9" s="18"/>
      <c r="J9" s="20"/>
      <c r="K9" s="18"/>
      <c r="L9" s="20"/>
      <c r="M9" s="18"/>
      <c r="N9" s="45"/>
      <c r="O9" s="84"/>
      <c r="P9" s="31"/>
      <c r="Q9" s="42"/>
      <c r="R9" s="18"/>
      <c r="S9" s="20"/>
      <c r="T9" s="24"/>
      <c r="U9" s="18"/>
      <c r="V9" s="20"/>
      <c r="W9" s="24"/>
      <c r="X9" s="28">
        <f t="shared" si="0"/>
        <v>26.16</v>
      </c>
      <c r="Y9" s="88">
        <f t="shared" si="3"/>
        <v>24</v>
      </c>
      <c r="Z9" s="34">
        <f t="shared" si="1"/>
        <v>2.16</v>
      </c>
      <c r="AA9" s="22">
        <f t="shared" si="2"/>
        <v>8.7326388888888884E-2</v>
      </c>
      <c r="AB9" s="33">
        <f>SUM(X6:X9)</f>
        <v>67.77</v>
      </c>
      <c r="AC9" s="21">
        <f>SUM(AA6:AA9)</f>
        <v>0.22733796296296294</v>
      </c>
      <c r="AD9" s="19"/>
      <c r="AE9" s="36"/>
      <c r="AF9" s="18"/>
      <c r="AG9" s="36"/>
      <c r="AH9" s="18"/>
      <c r="AI9" s="36"/>
      <c r="AJ9" s="18"/>
      <c r="AK9" s="36"/>
      <c r="AL9" s="18"/>
      <c r="AM9" s="36"/>
      <c r="AN9" s="18"/>
      <c r="AO9" s="36"/>
      <c r="AP9" s="18"/>
      <c r="AQ9" s="38"/>
    </row>
    <row r="10" spans="1:43" x14ac:dyDescent="0.25">
      <c r="A10" s="6"/>
      <c r="B10" s="1" t="s">
        <v>24</v>
      </c>
      <c r="C10" s="81">
        <v>41219</v>
      </c>
      <c r="D10" s="3"/>
      <c r="F10" s="2"/>
      <c r="G10" s="14"/>
      <c r="H10" s="15"/>
      <c r="I10">
        <v>6</v>
      </c>
      <c r="J10" s="13">
        <v>6.07</v>
      </c>
      <c r="K10" s="2">
        <v>0.22291666666666665</v>
      </c>
      <c r="L10" s="14">
        <v>0.20416666666666669</v>
      </c>
      <c r="M10" s="26">
        <v>2.0682870370370372E-2</v>
      </c>
      <c r="N10" s="44">
        <v>1.84</v>
      </c>
      <c r="O10" s="26">
        <v>8.3333333333333332E-3</v>
      </c>
      <c r="P10" s="30" t="s">
        <v>44</v>
      </c>
      <c r="Q10" s="41">
        <v>4</v>
      </c>
      <c r="R10" s="2">
        <v>0.16458333333333333</v>
      </c>
      <c r="S10" s="14">
        <v>0.16180555555555556</v>
      </c>
      <c r="T10" s="15">
        <v>1.0810185185185185E-2</v>
      </c>
      <c r="W10" s="4"/>
      <c r="X10" s="13">
        <f t="shared" si="0"/>
        <v>11.91</v>
      </c>
      <c r="Y10" s="87">
        <f>D10+I10+Q10+U10+N10</f>
        <v>11.84</v>
      </c>
      <c r="Z10" s="27">
        <f t="shared" si="1"/>
        <v>7.0000000000000284E-2</v>
      </c>
      <c r="AA10" s="14">
        <f>H10+M10+T10+W10+O10</f>
        <v>3.982638888888889E-2</v>
      </c>
      <c r="AB10" s="32"/>
      <c r="AC10"/>
      <c r="AD10" s="3">
        <v>82.4</v>
      </c>
      <c r="AE10" s="9">
        <f>$AD$2-AD10</f>
        <v>-2.7000000000000028</v>
      </c>
      <c r="AG10" s="9">
        <f>$AF$2-AF10</f>
        <v>41</v>
      </c>
      <c r="AI10" s="9">
        <f>$AH$2-AH10</f>
        <v>58</v>
      </c>
      <c r="AK10" s="9">
        <f>$AJ$2-AJ10</f>
        <v>93</v>
      </c>
      <c r="AL10"/>
      <c r="AM10" s="9">
        <f>$AL$2-AL10</f>
        <v>102</v>
      </c>
      <c r="AO10" s="9">
        <f>$AN$2-AN10</f>
        <v>30</v>
      </c>
      <c r="AQ10" s="37">
        <f>$AP$2-AP10</f>
        <v>41</v>
      </c>
    </row>
    <row r="11" spans="1:43" x14ac:dyDescent="0.25">
      <c r="A11" s="6"/>
      <c r="B11" s="1" t="s">
        <v>26</v>
      </c>
      <c r="C11" s="81">
        <v>41221</v>
      </c>
      <c r="D11" s="3"/>
      <c r="F11" s="2"/>
      <c r="G11" s="14"/>
      <c r="H11" s="15"/>
      <c r="I11">
        <v>6</v>
      </c>
      <c r="J11" s="13">
        <v>5.16</v>
      </c>
      <c r="K11" s="2">
        <v>0.22291666666666665</v>
      </c>
      <c r="L11" s="14">
        <v>0.20416666666666669</v>
      </c>
      <c r="M11" s="26">
        <v>1.7604166666666667E-2</v>
      </c>
      <c r="N11" s="44"/>
      <c r="O11" s="26"/>
      <c r="T11" s="4"/>
      <c r="U11">
        <v>6</v>
      </c>
      <c r="V11" s="14">
        <v>0.17569444444444446</v>
      </c>
      <c r="W11" s="47">
        <v>1.758101851851852E-2</v>
      </c>
      <c r="X11" s="13">
        <f t="shared" si="0"/>
        <v>11.16</v>
      </c>
      <c r="Y11" s="87">
        <f t="shared" si="3"/>
        <v>12</v>
      </c>
      <c r="Z11" s="27">
        <f t="shared" si="1"/>
        <v>-0.83999999999999986</v>
      </c>
      <c r="AA11" s="14">
        <f>H11+M11+T11+W11+O11</f>
        <v>3.5185185185185187E-2</v>
      </c>
      <c r="AB11" s="32"/>
      <c r="AC11"/>
      <c r="AD11" s="3"/>
      <c r="AL11"/>
      <c r="AQ11" s="37"/>
    </row>
    <row r="12" spans="1:43" x14ac:dyDescent="0.25">
      <c r="A12" s="6">
        <v>6</v>
      </c>
      <c r="B12" s="1" t="s">
        <v>29</v>
      </c>
      <c r="C12" s="81">
        <v>41222</v>
      </c>
      <c r="D12" s="3">
        <v>18</v>
      </c>
      <c r="E12" s="13">
        <v>18.02</v>
      </c>
      <c r="F12" s="2">
        <v>0.22291666666666665</v>
      </c>
      <c r="G12" s="14">
        <v>0.19375000000000001</v>
      </c>
      <c r="H12" s="15">
        <v>5.8217592592592592E-2</v>
      </c>
      <c r="K12" s="2"/>
      <c r="L12" s="14"/>
      <c r="M12" s="26"/>
      <c r="N12" s="44"/>
      <c r="O12" s="26"/>
      <c r="R12" s="2"/>
      <c r="S12" s="14"/>
      <c r="T12" s="15"/>
      <c r="W12" s="4"/>
      <c r="X12" s="13">
        <f t="shared" si="0"/>
        <v>18.02</v>
      </c>
      <c r="Y12" s="87">
        <f t="shared" si="3"/>
        <v>18</v>
      </c>
      <c r="Z12" s="27">
        <f t="shared" si="1"/>
        <v>1.9999999999999574E-2</v>
      </c>
      <c r="AA12" s="14">
        <f t="shared" si="2"/>
        <v>5.8217592592592592E-2</v>
      </c>
      <c r="AB12" s="32"/>
      <c r="AC12"/>
      <c r="AD12" s="3"/>
      <c r="AL12"/>
      <c r="AQ12" s="37"/>
    </row>
    <row r="13" spans="1:43" x14ac:dyDescent="0.25">
      <c r="A13" s="56"/>
      <c r="B13" s="17" t="s">
        <v>27</v>
      </c>
      <c r="C13" s="85">
        <v>41224</v>
      </c>
      <c r="D13" s="19">
        <v>26</v>
      </c>
      <c r="E13" s="20">
        <v>26.11</v>
      </c>
      <c r="F13" s="21">
        <v>0.22291666666666665</v>
      </c>
      <c r="G13" s="22">
        <v>0.20347222222222219</v>
      </c>
      <c r="H13" s="23">
        <v>8.8703703703703715E-2</v>
      </c>
      <c r="I13" s="18"/>
      <c r="J13" s="20"/>
      <c r="K13" s="18"/>
      <c r="L13" s="20"/>
      <c r="M13" s="18"/>
      <c r="N13" s="45"/>
      <c r="O13" s="84"/>
      <c r="P13" s="31"/>
      <c r="Q13" s="42"/>
      <c r="R13" s="18"/>
      <c r="S13" s="20"/>
      <c r="T13" s="24"/>
      <c r="U13" s="18"/>
      <c r="V13" s="20"/>
      <c r="W13" s="24"/>
      <c r="X13" s="28">
        <f t="shared" si="0"/>
        <v>26.11</v>
      </c>
      <c r="Y13" s="88">
        <f t="shared" si="3"/>
        <v>26</v>
      </c>
      <c r="Z13" s="34">
        <f t="shared" si="1"/>
        <v>0.10999999999999943</v>
      </c>
      <c r="AA13" s="22">
        <f t="shared" si="2"/>
        <v>8.8703703703703715E-2</v>
      </c>
      <c r="AB13" s="33">
        <f>SUM(X10:X13)</f>
        <v>67.2</v>
      </c>
      <c r="AC13" s="21">
        <f>SUM(AA10:AA13)</f>
        <v>0.22193287037037041</v>
      </c>
      <c r="AD13" s="19"/>
      <c r="AE13" s="36"/>
      <c r="AF13" s="18"/>
      <c r="AG13" s="36"/>
      <c r="AH13" s="18"/>
      <c r="AI13" s="36"/>
      <c r="AJ13" s="18"/>
      <c r="AK13" s="36"/>
      <c r="AL13" s="18"/>
      <c r="AM13" s="36"/>
      <c r="AN13" s="18"/>
      <c r="AO13" s="36"/>
      <c r="AP13" s="18"/>
      <c r="AQ13" s="38"/>
    </row>
    <row r="14" spans="1:43" x14ac:dyDescent="0.25">
      <c r="A14" s="10"/>
      <c r="B14" s="49" t="s">
        <v>24</v>
      </c>
      <c r="C14" s="81">
        <v>41226</v>
      </c>
      <c r="D14" s="3"/>
      <c r="E14" s="50"/>
      <c r="F14" s="2"/>
      <c r="G14" s="52"/>
      <c r="H14" s="15"/>
      <c r="I14" s="11">
        <v>6</v>
      </c>
      <c r="J14" s="50">
        <v>5.33</v>
      </c>
      <c r="K14" s="51">
        <v>0.22291666666666665</v>
      </c>
      <c r="L14" s="52">
        <v>0.20833333333333334</v>
      </c>
      <c r="M14" s="26">
        <v>1.8530092592592595E-2</v>
      </c>
      <c r="N14" s="44">
        <v>2.58</v>
      </c>
      <c r="O14" s="26">
        <v>1.2499999999999999E-2</v>
      </c>
      <c r="P14" s="53" t="s">
        <v>28</v>
      </c>
      <c r="Q14" s="54">
        <v>6</v>
      </c>
      <c r="R14" s="51">
        <v>0.16458333333333333</v>
      </c>
      <c r="S14" s="52">
        <v>0.16250000000000001</v>
      </c>
      <c r="T14" s="15">
        <v>1.6261574074074074E-2</v>
      </c>
      <c r="U14" s="11"/>
      <c r="V14" s="50"/>
      <c r="W14" s="4"/>
      <c r="X14" s="13">
        <f t="shared" si="0"/>
        <v>13.91</v>
      </c>
      <c r="Y14" s="87">
        <f>D14+I14+Q14+U14+N14</f>
        <v>14.58</v>
      </c>
      <c r="Z14" s="27">
        <f t="shared" si="1"/>
        <v>-0.66999999999999993</v>
      </c>
      <c r="AA14" s="14">
        <f>H14+M14+T14+W14+O14</f>
        <v>4.7291666666666662E-2</v>
      </c>
      <c r="AB14" s="32"/>
      <c r="AC14" s="51"/>
      <c r="AD14" s="3">
        <v>81.8</v>
      </c>
      <c r="AE14" s="9">
        <f>$AD$2-AD14</f>
        <v>-2.0999999999999943</v>
      </c>
      <c r="AG14" s="9">
        <f>$AF$2-AF14</f>
        <v>41</v>
      </c>
      <c r="AI14" s="9">
        <f>$AH$2-AH14</f>
        <v>58</v>
      </c>
      <c r="AK14" s="9">
        <f>$AJ$2-AJ14</f>
        <v>93</v>
      </c>
      <c r="AL14"/>
      <c r="AM14" s="9">
        <f>$AL$2-AL14</f>
        <v>102</v>
      </c>
      <c r="AO14" s="9">
        <f>$AN$2-AN14</f>
        <v>30</v>
      </c>
      <c r="AQ14" s="37">
        <f>$AP$2-AP14</f>
        <v>41</v>
      </c>
    </row>
    <row r="15" spans="1:43" x14ac:dyDescent="0.25">
      <c r="A15" s="10"/>
      <c r="B15" s="49" t="s">
        <v>26</v>
      </c>
      <c r="C15" s="81">
        <v>41228</v>
      </c>
      <c r="D15" s="3">
        <v>12</v>
      </c>
      <c r="E15" s="50">
        <v>12.26</v>
      </c>
      <c r="F15" s="2">
        <v>0.22291666666666665</v>
      </c>
      <c r="G15" s="52">
        <v>0.20416666666666669</v>
      </c>
      <c r="H15" s="15">
        <v>4.1666666666666664E-2</v>
      </c>
      <c r="I15" s="11"/>
      <c r="J15" s="50"/>
      <c r="K15" s="11"/>
      <c r="L15" s="50"/>
      <c r="M15" s="11"/>
      <c r="N15" s="44"/>
      <c r="O15" s="26"/>
      <c r="P15" s="53"/>
      <c r="Q15" s="54"/>
      <c r="R15" s="11"/>
      <c r="S15" s="50"/>
      <c r="T15" s="4"/>
      <c r="U15" s="11"/>
      <c r="V15" s="50"/>
      <c r="W15" s="4"/>
      <c r="X15" s="13">
        <f t="shared" si="0"/>
        <v>12.26</v>
      </c>
      <c r="Y15" s="87">
        <f t="shared" si="3"/>
        <v>12</v>
      </c>
      <c r="Z15" s="27">
        <f t="shared" si="1"/>
        <v>0.25999999999999979</v>
      </c>
      <c r="AA15" s="14">
        <f>H15+M15+T15+W15+O15</f>
        <v>4.1666666666666664E-2</v>
      </c>
      <c r="AB15" s="32"/>
      <c r="AC15" s="51"/>
      <c r="AD15" s="3"/>
      <c r="AL15"/>
      <c r="AQ15" s="37"/>
    </row>
    <row r="16" spans="1:43" x14ac:dyDescent="0.25">
      <c r="A16" s="10">
        <v>7</v>
      </c>
      <c r="B16" s="49" t="s">
        <v>29</v>
      </c>
      <c r="C16" s="81">
        <v>41229</v>
      </c>
      <c r="D16" s="3">
        <v>18</v>
      </c>
      <c r="E16" s="50">
        <v>19.41</v>
      </c>
      <c r="F16" s="51">
        <v>0.22291666666666665</v>
      </c>
      <c r="G16" s="52">
        <v>0.1986111111111111</v>
      </c>
      <c r="H16" s="15">
        <v>6.4259259259259252E-2</v>
      </c>
      <c r="I16" s="11"/>
      <c r="J16" s="50"/>
      <c r="K16" s="2"/>
      <c r="L16" s="52"/>
      <c r="M16" s="26"/>
      <c r="N16" s="44"/>
      <c r="O16" s="26"/>
      <c r="P16" s="53"/>
      <c r="Q16" s="54"/>
      <c r="R16" s="11"/>
      <c r="S16" s="50"/>
      <c r="T16" s="4"/>
      <c r="U16" s="11"/>
      <c r="V16" s="52"/>
      <c r="W16" s="15"/>
      <c r="X16" s="13">
        <f t="shared" si="0"/>
        <v>19.41</v>
      </c>
      <c r="Y16" s="87">
        <f t="shared" si="3"/>
        <v>18</v>
      </c>
      <c r="Z16" s="27">
        <f t="shared" si="1"/>
        <v>1.4100000000000001</v>
      </c>
      <c r="AA16" s="14">
        <f t="shared" si="2"/>
        <v>6.4259259259259252E-2</v>
      </c>
      <c r="AB16" s="32"/>
      <c r="AC16" s="51"/>
      <c r="AD16" s="3"/>
      <c r="AE16" s="55"/>
      <c r="AF16" s="11"/>
      <c r="AG16" s="55"/>
      <c r="AH16" s="11"/>
      <c r="AI16" s="55"/>
      <c r="AJ16" s="11"/>
      <c r="AK16" s="55"/>
      <c r="AL16" s="11"/>
      <c r="AM16" s="55"/>
      <c r="AN16" s="11"/>
      <c r="AO16" s="55"/>
      <c r="AP16" s="11"/>
      <c r="AQ16" s="37"/>
    </row>
    <row r="17" spans="1:43" x14ac:dyDescent="0.25">
      <c r="A17" s="56"/>
      <c r="B17" s="17" t="s">
        <v>27</v>
      </c>
      <c r="C17" s="85">
        <v>41231</v>
      </c>
      <c r="D17" s="19">
        <v>28</v>
      </c>
      <c r="E17" s="20">
        <v>26.54</v>
      </c>
      <c r="F17" s="21">
        <v>0.22291666666666665</v>
      </c>
      <c r="G17" s="22">
        <v>0.20972222222222223</v>
      </c>
      <c r="H17" s="23">
        <v>9.2743055555555565E-2</v>
      </c>
      <c r="I17" s="18"/>
      <c r="J17" s="20"/>
      <c r="K17" s="18"/>
      <c r="L17" s="20"/>
      <c r="M17" s="18"/>
      <c r="N17" s="45"/>
      <c r="O17" s="84"/>
      <c r="P17" s="31"/>
      <c r="Q17" s="42"/>
      <c r="R17" s="18"/>
      <c r="S17" s="20"/>
      <c r="T17" s="24"/>
      <c r="U17" s="18"/>
      <c r="V17" s="20"/>
      <c r="W17" s="24"/>
      <c r="X17" s="28">
        <f t="shared" si="0"/>
        <v>26.54</v>
      </c>
      <c r="Y17" s="88">
        <f t="shared" si="3"/>
        <v>28</v>
      </c>
      <c r="Z17" s="34">
        <f t="shared" si="1"/>
        <v>-1.4600000000000009</v>
      </c>
      <c r="AA17" s="22">
        <f t="shared" si="2"/>
        <v>9.2743055555555565E-2</v>
      </c>
      <c r="AB17" s="33">
        <f>SUM(X14:X17)</f>
        <v>72.12</v>
      </c>
      <c r="AC17" s="21">
        <f>SUM(AA14:AA17)</f>
        <v>0.24596064814814816</v>
      </c>
      <c r="AD17" s="19"/>
      <c r="AE17" s="36"/>
      <c r="AF17" s="18"/>
      <c r="AG17" s="36"/>
      <c r="AH17" s="18"/>
      <c r="AI17" s="36"/>
      <c r="AJ17" s="18"/>
      <c r="AK17" s="36"/>
      <c r="AL17" s="18"/>
      <c r="AM17" s="36"/>
      <c r="AN17" s="18"/>
      <c r="AO17" s="36"/>
      <c r="AP17" s="18"/>
      <c r="AQ17" s="38"/>
    </row>
    <row r="18" spans="1:43" x14ac:dyDescent="0.25">
      <c r="A18" s="10"/>
      <c r="B18" s="49" t="s">
        <v>24</v>
      </c>
      <c r="C18" s="81">
        <v>41233</v>
      </c>
      <c r="D18" s="3">
        <v>10</v>
      </c>
      <c r="E18" s="50">
        <v>10.08</v>
      </c>
      <c r="F18" s="51">
        <v>0.22291666666666665</v>
      </c>
      <c r="G18" s="52">
        <v>0.20972222222222223</v>
      </c>
      <c r="H18" s="15">
        <v>3.5092592592592592E-2</v>
      </c>
      <c r="I18" s="11"/>
      <c r="J18" s="50"/>
      <c r="K18" s="11"/>
      <c r="L18" s="50"/>
      <c r="M18" s="11"/>
      <c r="N18" s="44"/>
      <c r="O18" s="26"/>
      <c r="P18" s="53"/>
      <c r="Q18" s="54"/>
      <c r="R18" s="11"/>
      <c r="S18" s="50"/>
      <c r="T18" s="4"/>
      <c r="U18" s="11"/>
      <c r="V18" s="50"/>
      <c r="W18" s="4"/>
      <c r="X18" s="13">
        <f t="shared" si="0"/>
        <v>10.08</v>
      </c>
      <c r="Y18" s="87">
        <f t="shared" si="3"/>
        <v>10</v>
      </c>
      <c r="Z18" s="27">
        <f t="shared" si="1"/>
        <v>8.0000000000000071E-2</v>
      </c>
      <c r="AA18" s="14">
        <f t="shared" si="2"/>
        <v>3.5092592592592592E-2</v>
      </c>
      <c r="AB18" s="32"/>
      <c r="AC18" s="51"/>
      <c r="AD18" s="3">
        <v>79.900000000000006</v>
      </c>
      <c r="AE18" s="9">
        <f>$AD$2-AD18</f>
        <v>-0.20000000000000284</v>
      </c>
      <c r="AG18" s="9">
        <f>$AF$2-AF18</f>
        <v>41</v>
      </c>
      <c r="AI18" s="9">
        <f>$AH$2-AH18</f>
        <v>58</v>
      </c>
      <c r="AK18" s="9">
        <f>$AJ$2-AJ18</f>
        <v>93</v>
      </c>
      <c r="AL18"/>
      <c r="AM18" s="9">
        <f>$AL$2-AL18</f>
        <v>102</v>
      </c>
      <c r="AO18" s="9">
        <f>$AN$2-AN18</f>
        <v>30</v>
      </c>
      <c r="AQ18" s="37">
        <f>$AP$2-AP18</f>
        <v>41</v>
      </c>
    </row>
    <row r="19" spans="1:43" x14ac:dyDescent="0.25">
      <c r="A19" s="10"/>
      <c r="B19" s="49" t="s">
        <v>26</v>
      </c>
      <c r="C19" s="81">
        <v>41235</v>
      </c>
      <c r="D19" s="3"/>
      <c r="E19" s="50"/>
      <c r="F19" s="51"/>
      <c r="G19" s="52"/>
      <c r="H19" s="15"/>
      <c r="I19" s="11">
        <v>3</v>
      </c>
      <c r="J19" s="50">
        <v>3</v>
      </c>
      <c r="K19" s="51">
        <v>0.22291666666666665</v>
      </c>
      <c r="L19" s="52">
        <v>0.20833333333333334</v>
      </c>
      <c r="M19" s="26">
        <v>1.0416666666666666E-2</v>
      </c>
      <c r="N19" s="44"/>
      <c r="O19" s="26"/>
      <c r="P19" s="53"/>
      <c r="Q19" s="54"/>
      <c r="R19" s="11"/>
      <c r="S19" s="50"/>
      <c r="T19" s="4"/>
      <c r="U19" s="11">
        <v>5</v>
      </c>
      <c r="V19" s="52">
        <v>0.16597222222222222</v>
      </c>
      <c r="W19" s="15">
        <v>1.3807870370370371E-2</v>
      </c>
      <c r="X19" s="13">
        <f t="shared" si="0"/>
        <v>8</v>
      </c>
      <c r="Y19" s="87">
        <f t="shared" si="3"/>
        <v>8</v>
      </c>
      <c r="Z19" s="27">
        <f t="shared" si="1"/>
        <v>0</v>
      </c>
      <c r="AA19" s="14">
        <f>H19+M19+T19+W19+O19</f>
        <v>2.4224537037037037E-2</v>
      </c>
      <c r="AB19" s="32"/>
      <c r="AC19" s="51"/>
      <c r="AD19" s="3"/>
      <c r="AL19"/>
      <c r="AQ19" s="37"/>
    </row>
    <row r="20" spans="1:43" x14ac:dyDescent="0.25">
      <c r="A20" s="10">
        <v>8</v>
      </c>
      <c r="B20" s="49" t="s">
        <v>29</v>
      </c>
      <c r="C20" s="81">
        <v>41236</v>
      </c>
      <c r="D20" s="3">
        <v>14</v>
      </c>
      <c r="E20" s="50">
        <v>13.02</v>
      </c>
      <c r="F20" s="51">
        <v>0.22291666666666665</v>
      </c>
      <c r="G20" s="52">
        <v>0.20486111111111113</v>
      </c>
      <c r="H20" s="15">
        <v>4.447916666666666E-2</v>
      </c>
      <c r="I20" s="11"/>
      <c r="J20" s="50"/>
      <c r="K20" s="2"/>
      <c r="L20" s="52"/>
      <c r="M20" s="26"/>
      <c r="N20" s="44"/>
      <c r="O20" s="26"/>
      <c r="P20" s="53"/>
      <c r="Q20" s="54"/>
      <c r="R20" s="51"/>
      <c r="S20" s="52"/>
      <c r="T20" s="15"/>
      <c r="U20" s="11"/>
      <c r="V20" s="50"/>
      <c r="W20" s="4"/>
      <c r="X20" s="13">
        <f t="shared" si="0"/>
        <v>13.02</v>
      </c>
      <c r="Y20" s="87">
        <f t="shared" si="3"/>
        <v>14</v>
      </c>
      <c r="Z20" s="27">
        <f t="shared" si="1"/>
        <v>-0.98000000000000043</v>
      </c>
      <c r="AA20" s="14">
        <f t="shared" si="2"/>
        <v>4.447916666666666E-2</v>
      </c>
      <c r="AB20" s="32"/>
      <c r="AC20" s="51"/>
      <c r="AD20" s="3"/>
      <c r="AE20" s="55"/>
      <c r="AF20" s="11"/>
      <c r="AG20" s="55"/>
      <c r="AH20" s="11"/>
      <c r="AI20" s="55"/>
      <c r="AJ20" s="11"/>
      <c r="AK20" s="55"/>
      <c r="AL20" s="11"/>
      <c r="AM20" s="55"/>
      <c r="AN20" s="11"/>
      <c r="AO20" s="55"/>
      <c r="AP20" s="11"/>
      <c r="AQ20" s="37"/>
    </row>
    <row r="21" spans="1:43" x14ac:dyDescent="0.25">
      <c r="A21" s="56"/>
      <c r="B21" s="17" t="s">
        <v>27</v>
      </c>
      <c r="C21" s="85">
        <v>41238</v>
      </c>
      <c r="D21" s="19">
        <v>22</v>
      </c>
      <c r="E21" s="20">
        <v>15.83</v>
      </c>
      <c r="F21" s="21">
        <v>0.22291666666666665</v>
      </c>
      <c r="G21" s="22">
        <v>0.20972222222222223</v>
      </c>
      <c r="H21" s="23">
        <v>5.5358796296296288E-2</v>
      </c>
      <c r="I21" s="18"/>
      <c r="J21" s="20"/>
      <c r="K21" s="18"/>
      <c r="L21" s="20"/>
      <c r="M21" s="18"/>
      <c r="N21" s="45"/>
      <c r="O21" s="84"/>
      <c r="P21" s="31"/>
      <c r="Q21" s="42"/>
      <c r="R21" s="18"/>
      <c r="S21" s="20"/>
      <c r="T21" s="24"/>
      <c r="U21" s="18"/>
      <c r="V21" s="20"/>
      <c r="W21" s="24"/>
      <c r="X21" s="28">
        <f t="shared" si="0"/>
        <v>15.83</v>
      </c>
      <c r="Y21" s="88">
        <f t="shared" si="3"/>
        <v>22</v>
      </c>
      <c r="Z21" s="34">
        <f t="shared" si="1"/>
        <v>-6.17</v>
      </c>
      <c r="AA21" s="58">
        <f t="shared" si="2"/>
        <v>5.5358796296296288E-2</v>
      </c>
      <c r="AB21" s="33">
        <f>SUM(X18:X21)</f>
        <v>46.93</v>
      </c>
      <c r="AC21" s="21">
        <f>SUM(AA18:AA21)</f>
        <v>0.15915509259259258</v>
      </c>
      <c r="AD21" s="19"/>
      <c r="AE21" s="36"/>
      <c r="AF21" s="18"/>
      <c r="AG21" s="36"/>
      <c r="AH21" s="18"/>
      <c r="AI21" s="36"/>
      <c r="AJ21" s="18"/>
      <c r="AK21" s="36"/>
      <c r="AL21" s="18"/>
      <c r="AM21" s="36"/>
      <c r="AN21" s="18"/>
      <c r="AO21" s="36"/>
      <c r="AP21" s="18"/>
      <c r="AQ21" s="38"/>
    </row>
    <row r="22" spans="1:43" x14ac:dyDescent="0.25">
      <c r="A22" s="10"/>
      <c r="B22" s="49" t="s">
        <v>24</v>
      </c>
      <c r="C22" s="81">
        <v>41240</v>
      </c>
      <c r="D22" s="3"/>
      <c r="E22" s="50"/>
      <c r="F22" s="51"/>
      <c r="G22" s="52"/>
      <c r="H22" s="15"/>
      <c r="I22" s="11">
        <v>6</v>
      </c>
      <c r="J22" s="50">
        <v>6.05</v>
      </c>
      <c r="K22" s="51">
        <v>0.22013888888888888</v>
      </c>
      <c r="L22" s="52">
        <v>0.20694444444444446</v>
      </c>
      <c r="M22" s="26">
        <v>2.0833333333333332E-2</v>
      </c>
      <c r="N22" s="44"/>
      <c r="O22" s="26"/>
      <c r="P22" s="53"/>
      <c r="Q22" s="54"/>
      <c r="R22" s="11"/>
      <c r="S22" s="50"/>
      <c r="T22" s="4"/>
      <c r="U22" s="11">
        <v>7</v>
      </c>
      <c r="V22" s="52">
        <v>0.17708333333333334</v>
      </c>
      <c r="W22" s="15">
        <v>2.0648148148148148E-2</v>
      </c>
      <c r="X22" s="13">
        <f t="shared" si="0"/>
        <v>13.05</v>
      </c>
      <c r="Y22" s="87">
        <f t="shared" si="3"/>
        <v>13</v>
      </c>
      <c r="Z22" s="27">
        <f t="shared" si="1"/>
        <v>5.0000000000000711E-2</v>
      </c>
      <c r="AA22" s="14">
        <f t="shared" si="2"/>
        <v>4.148148148148148E-2</v>
      </c>
      <c r="AB22" s="32"/>
      <c r="AC22" s="51"/>
      <c r="AD22" s="3">
        <v>82.4</v>
      </c>
      <c r="AE22" s="9">
        <f>$AD$2-AD22</f>
        <v>-2.7000000000000028</v>
      </c>
      <c r="AG22" s="9">
        <f>$AF$2-AF22</f>
        <v>41</v>
      </c>
      <c r="AI22" s="9">
        <f>$AH$2-AH22</f>
        <v>58</v>
      </c>
      <c r="AK22" s="9">
        <f>$AJ$2-AJ22</f>
        <v>93</v>
      </c>
      <c r="AL22"/>
      <c r="AM22" s="9">
        <f>$AL$2-AL22</f>
        <v>102</v>
      </c>
      <c r="AO22" s="9">
        <f>$AN$2-AN22</f>
        <v>30</v>
      </c>
      <c r="AQ22" s="37">
        <f>$AP$2-AP22</f>
        <v>41</v>
      </c>
    </row>
    <row r="23" spans="1:43" x14ac:dyDescent="0.25">
      <c r="A23" s="10"/>
      <c r="B23" s="49" t="s">
        <v>26</v>
      </c>
      <c r="C23" s="81">
        <v>41242</v>
      </c>
      <c r="D23" s="3">
        <v>12</v>
      </c>
      <c r="E23" s="50">
        <v>12.97</v>
      </c>
      <c r="F23" s="51">
        <v>0.22013888888888888</v>
      </c>
      <c r="G23" s="52">
        <v>0.20347222222222219</v>
      </c>
      <c r="H23" s="15">
        <v>4.3923611111111115E-2</v>
      </c>
      <c r="I23" s="11"/>
      <c r="J23" s="50"/>
      <c r="K23" s="11"/>
      <c r="L23" s="50"/>
      <c r="M23" s="11"/>
      <c r="N23" s="44"/>
      <c r="O23" s="26"/>
      <c r="P23" s="53"/>
      <c r="Q23" s="54"/>
      <c r="R23" s="11"/>
      <c r="S23" s="50"/>
      <c r="T23" s="4"/>
      <c r="U23" s="11"/>
      <c r="V23" s="50"/>
      <c r="W23" s="4"/>
      <c r="X23" s="13">
        <f t="shared" si="0"/>
        <v>12.97</v>
      </c>
      <c r="Y23" s="87">
        <f t="shared" si="3"/>
        <v>12</v>
      </c>
      <c r="Z23" s="27">
        <f t="shared" si="1"/>
        <v>0.97000000000000064</v>
      </c>
      <c r="AA23" s="14">
        <f>H23+M23+T23+W23+O23</f>
        <v>4.3923611111111115E-2</v>
      </c>
      <c r="AB23" s="32"/>
      <c r="AC23" s="51"/>
      <c r="AD23" s="3"/>
      <c r="AL23"/>
      <c r="AQ23" s="37"/>
    </row>
    <row r="24" spans="1:43" x14ac:dyDescent="0.25">
      <c r="A24" s="10">
        <v>9</v>
      </c>
      <c r="B24" s="49" t="s">
        <v>29</v>
      </c>
      <c r="C24" s="81">
        <v>41243</v>
      </c>
      <c r="D24" s="3">
        <v>18</v>
      </c>
      <c r="E24" s="50">
        <v>18</v>
      </c>
      <c r="F24" s="51">
        <v>0.22013888888888888</v>
      </c>
      <c r="G24" s="52">
        <v>0.19930555555555554</v>
      </c>
      <c r="H24" s="15">
        <v>5.9884259259259255E-2</v>
      </c>
      <c r="I24" s="11"/>
      <c r="J24" s="50"/>
      <c r="K24" s="51"/>
      <c r="L24" s="52"/>
      <c r="M24" s="26"/>
      <c r="N24" s="44"/>
      <c r="O24" s="26"/>
      <c r="P24" s="53"/>
      <c r="Q24" s="54"/>
      <c r="R24" s="51"/>
      <c r="S24" s="52"/>
      <c r="T24" s="15"/>
      <c r="U24" s="11"/>
      <c r="V24" s="50"/>
      <c r="W24" s="4"/>
      <c r="X24" s="13">
        <f t="shared" si="0"/>
        <v>18</v>
      </c>
      <c r="Y24" s="87">
        <f t="shared" si="3"/>
        <v>18</v>
      </c>
      <c r="Z24" s="27">
        <f t="shared" si="1"/>
        <v>0</v>
      </c>
      <c r="AA24" s="14">
        <f t="shared" si="2"/>
        <v>5.9884259259259255E-2</v>
      </c>
      <c r="AB24" s="32"/>
      <c r="AC24" s="51"/>
      <c r="AD24" s="3"/>
      <c r="AE24" s="55"/>
      <c r="AF24" s="11"/>
      <c r="AG24" s="55"/>
      <c r="AH24" s="11"/>
      <c r="AI24" s="55"/>
      <c r="AJ24" s="11"/>
      <c r="AK24" s="55"/>
      <c r="AL24" s="11"/>
      <c r="AM24" s="55"/>
      <c r="AN24" s="11"/>
      <c r="AO24" s="55"/>
      <c r="AP24" s="11"/>
      <c r="AQ24" s="37"/>
    </row>
    <row r="25" spans="1:43" x14ac:dyDescent="0.25">
      <c r="A25" s="56"/>
      <c r="B25" s="17" t="s">
        <v>27</v>
      </c>
      <c r="C25" s="85">
        <v>41245</v>
      </c>
      <c r="D25" s="19">
        <v>28</v>
      </c>
      <c r="E25" s="20">
        <v>28</v>
      </c>
      <c r="F25" s="21">
        <v>0.22013888888888888</v>
      </c>
      <c r="G25" s="22">
        <v>0.20486111111111113</v>
      </c>
      <c r="H25" s="23">
        <v>9.5810185185185179E-2</v>
      </c>
      <c r="I25" s="18"/>
      <c r="J25" s="20"/>
      <c r="K25" s="18"/>
      <c r="L25" s="20"/>
      <c r="M25" s="18"/>
      <c r="N25" s="45"/>
      <c r="O25" s="84"/>
      <c r="P25" s="31"/>
      <c r="Q25" s="42"/>
      <c r="R25" s="18"/>
      <c r="S25" s="20"/>
      <c r="T25" s="24"/>
      <c r="U25" s="18"/>
      <c r="V25" s="20"/>
      <c r="W25" s="24"/>
      <c r="X25" s="28">
        <f t="shared" si="0"/>
        <v>28</v>
      </c>
      <c r="Y25" s="88">
        <f t="shared" si="3"/>
        <v>28</v>
      </c>
      <c r="Z25" s="34">
        <f t="shared" si="1"/>
        <v>0</v>
      </c>
      <c r="AA25" s="22">
        <f t="shared" si="2"/>
        <v>9.5810185185185179E-2</v>
      </c>
      <c r="AB25" s="33">
        <f>SUM(X22:X25)</f>
        <v>72.02000000000001</v>
      </c>
      <c r="AC25" s="21">
        <f>SUM(AA22:AA25)</f>
        <v>0.24109953703703701</v>
      </c>
      <c r="AD25" s="19"/>
      <c r="AE25" s="36"/>
      <c r="AF25" s="18"/>
      <c r="AG25" s="36"/>
      <c r="AH25" s="18"/>
      <c r="AI25" s="36"/>
      <c r="AJ25" s="18"/>
      <c r="AK25" s="36"/>
      <c r="AL25" s="18"/>
      <c r="AM25" s="36"/>
      <c r="AN25" s="18"/>
      <c r="AO25" s="36"/>
      <c r="AP25" s="18"/>
      <c r="AQ25" s="38"/>
    </row>
    <row r="26" spans="1:43" x14ac:dyDescent="0.25">
      <c r="A26" s="10"/>
      <c r="B26" s="49" t="s">
        <v>24</v>
      </c>
      <c r="C26" s="81">
        <v>41247</v>
      </c>
      <c r="D26" s="3"/>
      <c r="E26" s="50"/>
      <c r="F26" s="51"/>
      <c r="G26" s="52"/>
      <c r="H26" s="15"/>
      <c r="I26" s="11">
        <v>6</v>
      </c>
      <c r="J26" s="50">
        <v>5.86</v>
      </c>
      <c r="K26" s="51">
        <v>0.22013888888888888</v>
      </c>
      <c r="L26" s="52">
        <v>0.20416666666666669</v>
      </c>
      <c r="M26" s="26">
        <v>1.9988425925925927E-2</v>
      </c>
      <c r="N26" s="44"/>
      <c r="O26" s="26"/>
      <c r="P26" s="53"/>
      <c r="Q26" s="54"/>
      <c r="R26" s="11"/>
      <c r="S26" s="50"/>
      <c r="T26" s="4"/>
      <c r="U26" s="11">
        <v>9</v>
      </c>
      <c r="V26" s="52">
        <v>0.17916666666666667</v>
      </c>
      <c r="W26" s="15">
        <v>2.6377314814814815E-2</v>
      </c>
      <c r="X26" s="13">
        <f t="shared" si="0"/>
        <v>14.86</v>
      </c>
      <c r="Y26" s="87">
        <f t="shared" si="3"/>
        <v>15</v>
      </c>
      <c r="Z26" s="27">
        <f t="shared" si="1"/>
        <v>-0.14000000000000057</v>
      </c>
      <c r="AA26" s="14">
        <f t="shared" si="2"/>
        <v>4.6365740740740742E-2</v>
      </c>
      <c r="AB26" s="32"/>
      <c r="AC26" s="51"/>
      <c r="AD26" s="3">
        <v>80.2</v>
      </c>
      <c r="AE26" s="9">
        <f>$AD$2-AD26</f>
        <v>-0.5</v>
      </c>
      <c r="AG26" s="9">
        <f>$AF$2-AF26</f>
        <v>41</v>
      </c>
      <c r="AI26" s="9">
        <f>$AH$2-AH26</f>
        <v>58</v>
      </c>
      <c r="AK26" s="9">
        <f>$AJ$2-AJ26</f>
        <v>93</v>
      </c>
      <c r="AL26"/>
      <c r="AM26" s="9">
        <f>$AL$2-AL26</f>
        <v>102</v>
      </c>
      <c r="AO26" s="9">
        <f>$AN$2-AN26</f>
        <v>30</v>
      </c>
      <c r="AQ26" s="37">
        <f>$AP$2-AP26</f>
        <v>41</v>
      </c>
    </row>
    <row r="27" spans="1:43" x14ac:dyDescent="0.25">
      <c r="A27" s="10"/>
      <c r="B27" s="49" t="s">
        <v>26</v>
      </c>
      <c r="C27" s="81">
        <v>41249</v>
      </c>
      <c r="D27" s="3">
        <v>12</v>
      </c>
      <c r="E27" s="50">
        <v>11.92</v>
      </c>
      <c r="F27" s="51">
        <v>0.22013888888888888</v>
      </c>
      <c r="G27" s="52">
        <v>0.19166666666666665</v>
      </c>
      <c r="H27" s="15">
        <v>3.8078703703703705E-2</v>
      </c>
      <c r="I27" s="11"/>
      <c r="J27" s="50"/>
      <c r="K27" s="11"/>
      <c r="L27" s="50"/>
      <c r="M27" s="11"/>
      <c r="N27" s="44"/>
      <c r="O27" s="26"/>
      <c r="P27" s="53"/>
      <c r="Q27" s="54"/>
      <c r="R27" s="11"/>
      <c r="S27" s="50"/>
      <c r="T27" s="4"/>
      <c r="U27" s="11"/>
      <c r="V27" s="50"/>
      <c r="W27" s="26"/>
      <c r="X27" s="61">
        <f t="shared" si="0"/>
        <v>11.92</v>
      </c>
      <c r="Y27" s="87">
        <f t="shared" si="3"/>
        <v>12</v>
      </c>
      <c r="Z27" s="27">
        <f t="shared" si="1"/>
        <v>-8.0000000000000071E-2</v>
      </c>
      <c r="AA27" s="14">
        <f>H27+M27+T27+W27+O27</f>
        <v>3.8078703703703705E-2</v>
      </c>
      <c r="AB27" s="32"/>
      <c r="AC27" s="51"/>
      <c r="AD27" s="3"/>
      <c r="AL27"/>
      <c r="AQ27" s="37"/>
    </row>
    <row r="28" spans="1:43" x14ac:dyDescent="0.25">
      <c r="A28" s="10">
        <v>10</v>
      </c>
      <c r="B28" s="49" t="s">
        <v>29</v>
      </c>
      <c r="C28" s="81">
        <v>41250</v>
      </c>
      <c r="D28" s="3">
        <v>20</v>
      </c>
      <c r="E28" s="50">
        <v>19.91</v>
      </c>
      <c r="F28" s="51">
        <v>0.22013888888888888</v>
      </c>
      <c r="G28" s="52">
        <v>0.19999999999999998</v>
      </c>
      <c r="H28" s="15">
        <v>6.6377314814814806E-2</v>
      </c>
      <c r="I28" s="11"/>
      <c r="J28" s="50"/>
      <c r="K28" s="51"/>
      <c r="L28" s="52"/>
      <c r="M28" s="26"/>
      <c r="N28" s="44"/>
      <c r="O28" s="26"/>
      <c r="P28" s="53"/>
      <c r="Q28" s="54"/>
      <c r="R28" s="11"/>
      <c r="S28" s="50"/>
      <c r="T28" s="4"/>
      <c r="U28" s="11"/>
      <c r="V28" s="52"/>
      <c r="W28" s="26"/>
      <c r="X28" s="61">
        <f t="shared" si="0"/>
        <v>19.91</v>
      </c>
      <c r="Y28" s="87">
        <f t="shared" si="3"/>
        <v>20</v>
      </c>
      <c r="Z28" s="27">
        <f t="shared" si="1"/>
        <v>-8.9999999999999858E-2</v>
      </c>
      <c r="AA28" s="14">
        <f t="shared" si="2"/>
        <v>6.6377314814814806E-2</v>
      </c>
      <c r="AB28" s="32"/>
      <c r="AC28" s="51"/>
      <c r="AD28" s="3"/>
      <c r="AE28" s="55"/>
      <c r="AF28" s="11"/>
      <c r="AG28" s="55"/>
      <c r="AH28" s="11"/>
      <c r="AI28" s="55"/>
      <c r="AJ28" s="11"/>
      <c r="AK28" s="55"/>
      <c r="AL28" s="11"/>
      <c r="AM28" s="55"/>
      <c r="AN28" s="11"/>
      <c r="AO28" s="55"/>
      <c r="AP28" s="11"/>
      <c r="AQ28" s="37"/>
    </row>
    <row r="29" spans="1:43" x14ac:dyDescent="0.25">
      <c r="A29" s="56"/>
      <c r="B29" s="17" t="s">
        <v>27</v>
      </c>
      <c r="C29" s="85">
        <v>41252</v>
      </c>
      <c r="D29" s="19">
        <v>30</v>
      </c>
      <c r="E29" s="20">
        <v>30.67</v>
      </c>
      <c r="F29" s="21">
        <v>0.22013888888888888</v>
      </c>
      <c r="G29" s="22">
        <v>0.21527777777777779</v>
      </c>
      <c r="H29" s="23">
        <v>0.11005787037037036</v>
      </c>
      <c r="I29" s="18"/>
      <c r="J29" s="20"/>
      <c r="K29" s="18"/>
      <c r="L29" s="20"/>
      <c r="M29" s="18"/>
      <c r="N29" s="45"/>
      <c r="O29" s="84"/>
      <c r="P29" s="31"/>
      <c r="Q29" s="42"/>
      <c r="R29" s="18"/>
      <c r="S29" s="20"/>
      <c r="T29" s="24"/>
      <c r="U29" s="18"/>
      <c r="V29" s="20"/>
      <c r="W29" s="24"/>
      <c r="X29" s="28">
        <f t="shared" si="0"/>
        <v>30.67</v>
      </c>
      <c r="Y29" s="88">
        <f t="shared" si="3"/>
        <v>30</v>
      </c>
      <c r="Z29" s="34">
        <f t="shared" si="1"/>
        <v>0.67000000000000171</v>
      </c>
      <c r="AA29" s="22">
        <f t="shared" si="2"/>
        <v>0.11005787037037036</v>
      </c>
      <c r="AB29" s="33">
        <f>SUM(X26:X29)</f>
        <v>77.36</v>
      </c>
      <c r="AC29" s="21">
        <f>SUM(AA26:AA29)</f>
        <v>0.26087962962962963</v>
      </c>
      <c r="AD29" s="19"/>
      <c r="AE29" s="36"/>
      <c r="AF29" s="18"/>
      <c r="AG29" s="36"/>
      <c r="AH29" s="18"/>
      <c r="AI29" s="36"/>
      <c r="AJ29" s="18"/>
      <c r="AK29" s="36"/>
      <c r="AL29" s="18"/>
      <c r="AM29" s="36"/>
      <c r="AN29" s="18"/>
      <c r="AO29" s="36"/>
      <c r="AP29" s="18"/>
      <c r="AQ29" s="38"/>
    </row>
    <row r="30" spans="1:43" x14ac:dyDescent="0.25">
      <c r="A30" s="10"/>
      <c r="B30" s="49" t="s">
        <v>24</v>
      </c>
      <c r="C30" s="81">
        <v>41254</v>
      </c>
      <c r="D30" s="3"/>
      <c r="E30" s="50"/>
      <c r="F30" s="51"/>
      <c r="G30" s="52"/>
      <c r="H30" s="15"/>
      <c r="I30" s="11">
        <v>6</v>
      </c>
      <c r="J30" s="50">
        <v>5.78</v>
      </c>
      <c r="K30" s="51">
        <v>0.22013888888888888</v>
      </c>
      <c r="L30" s="52">
        <v>0.20902777777777778</v>
      </c>
      <c r="M30" s="26">
        <v>2.013888888888889E-2</v>
      </c>
      <c r="N30" s="44"/>
      <c r="O30" s="26"/>
      <c r="P30" s="53"/>
      <c r="Q30" s="54"/>
      <c r="R30" s="11"/>
      <c r="S30" s="50"/>
      <c r="T30" s="4"/>
      <c r="U30" s="11">
        <v>8</v>
      </c>
      <c r="V30" s="52">
        <v>0.17708333333333334</v>
      </c>
      <c r="W30" s="15">
        <v>2.359953703703704E-2</v>
      </c>
      <c r="X30" s="13">
        <f t="shared" si="0"/>
        <v>13.780000000000001</v>
      </c>
      <c r="Y30" s="87">
        <f t="shared" si="3"/>
        <v>14</v>
      </c>
      <c r="Z30" s="27">
        <f t="shared" si="1"/>
        <v>-0.21999999999999886</v>
      </c>
      <c r="AA30" s="14">
        <f t="shared" si="2"/>
        <v>4.3738425925925931E-2</v>
      </c>
      <c r="AB30" s="32"/>
      <c r="AC30" s="51"/>
      <c r="AD30" s="3">
        <v>80.2</v>
      </c>
      <c r="AE30" s="9">
        <f>$AD$2-AD30</f>
        <v>-0.5</v>
      </c>
      <c r="AG30" s="9">
        <f>$AF$2-AF30</f>
        <v>41</v>
      </c>
      <c r="AI30" s="9">
        <f>$AH$2-AH30</f>
        <v>58</v>
      </c>
      <c r="AK30" s="9">
        <f>$AJ$2-AJ30</f>
        <v>93</v>
      </c>
      <c r="AL30"/>
      <c r="AM30" s="9">
        <f>$AL$2-AL30</f>
        <v>102</v>
      </c>
      <c r="AO30" s="9">
        <f>$AN$2-AN30</f>
        <v>30</v>
      </c>
      <c r="AQ30" s="37">
        <f>$AP$2-AP30</f>
        <v>41</v>
      </c>
    </row>
    <row r="31" spans="1:43" x14ac:dyDescent="0.25">
      <c r="A31" s="10"/>
      <c r="B31" s="49" t="s">
        <v>26</v>
      </c>
      <c r="C31" s="81">
        <v>41256</v>
      </c>
      <c r="D31" s="3">
        <v>12</v>
      </c>
      <c r="E31" s="50">
        <v>11.27</v>
      </c>
      <c r="F31" s="51">
        <v>0.22013888888888888</v>
      </c>
      <c r="G31" s="52">
        <v>0.19027777777777777</v>
      </c>
      <c r="H31" s="15">
        <v>3.5798611111111107E-2</v>
      </c>
      <c r="I31" s="11"/>
      <c r="J31" s="50"/>
      <c r="K31" s="11"/>
      <c r="L31" s="50"/>
      <c r="M31" s="11"/>
      <c r="N31" s="44"/>
      <c r="O31" s="26"/>
      <c r="P31" s="53"/>
      <c r="Q31" s="54"/>
      <c r="R31" s="11"/>
      <c r="S31" s="50"/>
      <c r="T31" s="4"/>
      <c r="U31" s="11"/>
      <c r="V31" s="50"/>
      <c r="W31" s="4"/>
      <c r="X31" s="13">
        <f t="shared" si="0"/>
        <v>11.27</v>
      </c>
      <c r="Y31" s="87">
        <f t="shared" si="3"/>
        <v>12</v>
      </c>
      <c r="Z31" s="27">
        <f t="shared" si="1"/>
        <v>-0.73000000000000043</v>
      </c>
      <c r="AA31" s="14">
        <f>H31+M31+T31+W31+O31</f>
        <v>3.5798611111111107E-2</v>
      </c>
      <c r="AB31" s="32"/>
      <c r="AC31" s="51"/>
      <c r="AD31" s="3"/>
      <c r="AL31"/>
      <c r="AQ31" s="37"/>
    </row>
    <row r="32" spans="1:43" x14ac:dyDescent="0.25">
      <c r="A32" s="10">
        <v>11</v>
      </c>
      <c r="B32" s="49" t="s">
        <v>29</v>
      </c>
      <c r="C32" s="81">
        <v>41257</v>
      </c>
      <c r="D32" s="3">
        <v>22</v>
      </c>
      <c r="E32" s="50">
        <v>22.2</v>
      </c>
      <c r="F32" s="51">
        <v>0.22013888888888888</v>
      </c>
      <c r="G32" s="52">
        <v>0.2076388888888889</v>
      </c>
      <c r="H32" s="15">
        <v>7.6840277777777785E-2</v>
      </c>
      <c r="I32" s="11"/>
      <c r="J32" s="52"/>
      <c r="K32" s="51"/>
      <c r="L32" s="52"/>
      <c r="M32" s="26"/>
      <c r="N32" s="44"/>
      <c r="O32" s="26"/>
      <c r="P32" s="53"/>
      <c r="Q32" s="54"/>
      <c r="R32" s="11"/>
      <c r="S32" s="50"/>
      <c r="T32" s="4"/>
      <c r="U32" s="11"/>
      <c r="V32" s="52"/>
      <c r="W32" s="15"/>
      <c r="X32" s="13">
        <f t="shared" si="0"/>
        <v>22.2</v>
      </c>
      <c r="Y32" s="87">
        <f t="shared" si="3"/>
        <v>22</v>
      </c>
      <c r="Z32" s="27">
        <f t="shared" si="1"/>
        <v>0.19999999999999929</v>
      </c>
      <c r="AA32" s="14">
        <f t="shared" si="2"/>
        <v>7.6840277777777785E-2</v>
      </c>
      <c r="AB32" s="32"/>
      <c r="AC32" s="51"/>
      <c r="AD32" s="3"/>
      <c r="AE32" s="55"/>
      <c r="AF32" s="11"/>
      <c r="AG32" s="55"/>
      <c r="AH32" s="11"/>
      <c r="AI32" s="55"/>
      <c r="AJ32" s="11"/>
      <c r="AK32" s="55"/>
      <c r="AL32" s="11"/>
      <c r="AM32" s="55"/>
      <c r="AN32" s="11"/>
      <c r="AO32" s="55"/>
      <c r="AP32" s="11"/>
      <c r="AQ32" s="37"/>
    </row>
    <row r="33" spans="1:43" x14ac:dyDescent="0.25">
      <c r="A33" s="56"/>
      <c r="B33" s="17" t="s">
        <v>27</v>
      </c>
      <c r="C33" s="85">
        <v>41259</v>
      </c>
      <c r="D33" s="19">
        <v>32</v>
      </c>
      <c r="E33" s="20">
        <v>32.229999999999997</v>
      </c>
      <c r="F33" s="21">
        <v>0.22013888888888888</v>
      </c>
      <c r="G33" s="22">
        <v>0.21041666666666667</v>
      </c>
      <c r="H33" s="23">
        <v>0.11300925925925925</v>
      </c>
      <c r="I33" s="18"/>
      <c r="J33" s="20"/>
      <c r="K33" s="18"/>
      <c r="L33" s="20"/>
      <c r="M33" s="18"/>
      <c r="N33" s="45"/>
      <c r="O33" s="84"/>
      <c r="P33" s="31"/>
      <c r="Q33" s="42"/>
      <c r="R33" s="18"/>
      <c r="S33" s="20"/>
      <c r="T33" s="24"/>
      <c r="U33" s="18"/>
      <c r="V33" s="20"/>
      <c r="W33" s="24"/>
      <c r="X33" s="28">
        <f t="shared" si="0"/>
        <v>32.229999999999997</v>
      </c>
      <c r="Y33" s="88">
        <f t="shared" si="3"/>
        <v>32</v>
      </c>
      <c r="Z33" s="34">
        <f t="shared" si="1"/>
        <v>0.22999999999999687</v>
      </c>
      <c r="AA33" s="22">
        <f t="shared" si="2"/>
        <v>0.11300925925925925</v>
      </c>
      <c r="AB33" s="33">
        <f>SUM(X30:X33)</f>
        <v>79.47999999999999</v>
      </c>
      <c r="AC33" s="21">
        <f>SUM(AA30:AA33)</f>
        <v>0.26938657407407407</v>
      </c>
      <c r="AD33" s="19"/>
      <c r="AE33" s="36"/>
      <c r="AF33" s="18"/>
      <c r="AG33" s="36"/>
      <c r="AH33" s="18"/>
      <c r="AI33" s="36"/>
      <c r="AJ33" s="18"/>
      <c r="AK33" s="36"/>
      <c r="AL33" s="18"/>
      <c r="AM33" s="36"/>
      <c r="AN33" s="18"/>
      <c r="AO33" s="36"/>
      <c r="AP33" s="18"/>
      <c r="AQ33" s="38"/>
    </row>
    <row r="34" spans="1:43" x14ac:dyDescent="0.25">
      <c r="A34" s="10"/>
      <c r="B34" s="49" t="s">
        <v>24</v>
      </c>
      <c r="C34" s="81">
        <v>41261</v>
      </c>
      <c r="D34" s="3">
        <v>8</v>
      </c>
      <c r="E34" s="50">
        <v>8</v>
      </c>
      <c r="F34" s="2">
        <v>0.22013888888888888</v>
      </c>
      <c r="G34" s="52">
        <v>0.1986111111111111</v>
      </c>
      <c r="H34" s="15">
        <v>2.6481481481481481E-2</v>
      </c>
      <c r="I34" s="11"/>
      <c r="J34" s="50"/>
      <c r="K34" s="11"/>
      <c r="L34" s="50"/>
      <c r="M34" s="11"/>
      <c r="N34" s="44"/>
      <c r="O34" s="26"/>
      <c r="P34" s="53"/>
      <c r="Q34" s="54"/>
      <c r="R34" s="11"/>
      <c r="S34" s="50"/>
      <c r="T34" s="4"/>
      <c r="U34" s="11"/>
      <c r="V34" s="50"/>
      <c r="W34" s="4"/>
      <c r="X34" s="13">
        <f t="shared" si="0"/>
        <v>8</v>
      </c>
      <c r="Y34" s="87">
        <f t="shared" si="3"/>
        <v>8</v>
      </c>
      <c r="Z34" s="27">
        <f t="shared" si="1"/>
        <v>0</v>
      </c>
      <c r="AA34" s="14">
        <f t="shared" si="2"/>
        <v>2.6481481481481481E-2</v>
      </c>
      <c r="AB34" s="32"/>
      <c r="AC34" s="51"/>
      <c r="AD34" s="3"/>
      <c r="AE34" s="9">
        <f>$AD$2-AD34</f>
        <v>79.7</v>
      </c>
      <c r="AG34" s="9">
        <f>$AF$2-AF34</f>
        <v>41</v>
      </c>
      <c r="AI34" s="9">
        <f>$AH$2-AH34</f>
        <v>58</v>
      </c>
      <c r="AK34" s="9">
        <f>$AJ$2-AJ34</f>
        <v>93</v>
      </c>
      <c r="AL34"/>
      <c r="AM34" s="9">
        <f>$AL$2-AL34</f>
        <v>102</v>
      </c>
      <c r="AO34" s="9">
        <f>$AN$2-AN34</f>
        <v>30</v>
      </c>
      <c r="AQ34" s="37">
        <f>$AP$2-AP34</f>
        <v>41</v>
      </c>
    </row>
    <row r="35" spans="1:43" x14ac:dyDescent="0.25">
      <c r="A35" s="10"/>
      <c r="B35" s="49" t="s">
        <v>26</v>
      </c>
      <c r="C35" s="81">
        <v>41263</v>
      </c>
      <c r="D35" s="3"/>
      <c r="E35" s="50"/>
      <c r="F35" s="2"/>
      <c r="G35" s="52"/>
      <c r="H35" s="15"/>
      <c r="I35" s="11">
        <v>3</v>
      </c>
      <c r="J35" s="50">
        <v>3.29</v>
      </c>
      <c r="K35" s="51">
        <v>0.22013888888888888</v>
      </c>
      <c r="L35" s="52">
        <v>0.21458333333333335</v>
      </c>
      <c r="M35" s="26">
        <v>1.1747685185185186E-2</v>
      </c>
      <c r="N35" s="44"/>
      <c r="O35" s="26"/>
      <c r="P35" s="53"/>
      <c r="Q35" s="54"/>
      <c r="R35" s="11"/>
      <c r="S35" s="50"/>
      <c r="T35" s="4"/>
      <c r="U35" s="11">
        <v>10</v>
      </c>
      <c r="V35" s="52">
        <v>0.17430555555555557</v>
      </c>
      <c r="W35" s="15">
        <v>2.90162037037037E-2</v>
      </c>
      <c r="X35" s="13">
        <f t="shared" si="0"/>
        <v>13.29</v>
      </c>
      <c r="Y35" s="87">
        <f t="shared" si="3"/>
        <v>13</v>
      </c>
      <c r="Z35" s="27">
        <f t="shared" si="1"/>
        <v>0.28999999999999915</v>
      </c>
      <c r="AA35" s="14">
        <f>H35+M35+T35+W35+O35</f>
        <v>4.0763888888888884E-2</v>
      </c>
      <c r="AB35" s="32"/>
      <c r="AC35" s="51"/>
      <c r="AD35" s="3"/>
      <c r="AL35"/>
      <c r="AQ35" s="37"/>
    </row>
    <row r="36" spans="1:43" x14ac:dyDescent="0.25">
      <c r="A36" s="10">
        <v>12</v>
      </c>
      <c r="B36" s="49" t="s">
        <v>29</v>
      </c>
      <c r="C36" s="81">
        <v>41264</v>
      </c>
      <c r="D36" s="3">
        <v>16</v>
      </c>
      <c r="E36" s="50">
        <v>16.36</v>
      </c>
      <c r="F36" s="51">
        <v>0.22013888888888888</v>
      </c>
      <c r="G36" s="52">
        <v>0.19930555555555554</v>
      </c>
      <c r="H36" s="15">
        <v>5.4328703703703705E-2</v>
      </c>
      <c r="I36" s="11"/>
      <c r="J36" s="50"/>
      <c r="K36" s="2"/>
      <c r="L36" s="52"/>
      <c r="M36" s="26"/>
      <c r="N36" s="44"/>
      <c r="O36" s="26"/>
      <c r="P36" s="53"/>
      <c r="Q36" s="54"/>
      <c r="R36" s="51"/>
      <c r="S36" s="52"/>
      <c r="T36" s="15"/>
      <c r="U36" s="11"/>
      <c r="V36" s="50"/>
      <c r="W36" s="4"/>
      <c r="X36" s="13">
        <f t="shared" si="0"/>
        <v>16.36</v>
      </c>
      <c r="Y36" s="87">
        <f t="shared" si="3"/>
        <v>16</v>
      </c>
      <c r="Z36" s="27">
        <f t="shared" si="1"/>
        <v>0.35999999999999943</v>
      </c>
      <c r="AA36" s="14">
        <f t="shared" si="2"/>
        <v>5.4328703703703705E-2</v>
      </c>
      <c r="AB36" s="32"/>
      <c r="AC36" s="51"/>
      <c r="AD36" s="3"/>
      <c r="AE36" s="55"/>
      <c r="AF36" s="11"/>
      <c r="AG36" s="55"/>
      <c r="AH36" s="11"/>
      <c r="AI36" s="55"/>
      <c r="AJ36" s="11"/>
      <c r="AK36" s="55"/>
      <c r="AL36" s="11"/>
      <c r="AM36" s="55"/>
      <c r="AN36" s="11"/>
      <c r="AO36" s="55"/>
      <c r="AP36" s="11"/>
      <c r="AQ36" s="37"/>
    </row>
    <row r="37" spans="1:43" x14ac:dyDescent="0.25">
      <c r="A37" s="56"/>
      <c r="B37" s="17" t="s">
        <v>27</v>
      </c>
      <c r="C37" s="85">
        <v>41266</v>
      </c>
      <c r="D37" s="19">
        <v>20</v>
      </c>
      <c r="E37" s="20">
        <v>14.6</v>
      </c>
      <c r="F37" s="21">
        <v>0.22013888888888888</v>
      </c>
      <c r="G37" s="22">
        <v>0.22777777777777777</v>
      </c>
      <c r="H37" s="23">
        <v>5.5428240740740743E-2</v>
      </c>
      <c r="I37" s="18"/>
      <c r="J37" s="20"/>
      <c r="K37" s="18"/>
      <c r="L37" s="20"/>
      <c r="M37" s="18"/>
      <c r="N37" s="45"/>
      <c r="O37" s="84"/>
      <c r="P37" s="31"/>
      <c r="Q37" s="42"/>
      <c r="R37" s="21"/>
      <c r="S37" s="22"/>
      <c r="T37" s="23"/>
      <c r="U37" s="18"/>
      <c r="V37" s="20"/>
      <c r="W37" s="23"/>
      <c r="X37" s="28">
        <f t="shared" si="0"/>
        <v>14.6</v>
      </c>
      <c r="Y37" s="88">
        <f t="shared" si="3"/>
        <v>20</v>
      </c>
      <c r="Z37" s="34">
        <f t="shared" si="1"/>
        <v>-5.4</v>
      </c>
      <c r="AA37" s="22">
        <f t="shared" si="2"/>
        <v>5.5428240740740743E-2</v>
      </c>
      <c r="AB37" s="33">
        <f>SUM(X34:X37)</f>
        <v>52.25</v>
      </c>
      <c r="AC37" s="21">
        <f>SUM(AA34:AA37)</f>
        <v>0.17700231481481482</v>
      </c>
      <c r="AD37" s="19"/>
      <c r="AE37" s="36"/>
      <c r="AF37" s="18"/>
      <c r="AG37" s="36"/>
      <c r="AH37" s="18"/>
      <c r="AI37" s="36"/>
      <c r="AJ37" s="18"/>
      <c r="AK37" s="36"/>
      <c r="AL37" s="18"/>
      <c r="AM37" s="36"/>
      <c r="AN37" s="18"/>
      <c r="AO37" s="36"/>
      <c r="AP37" s="18"/>
      <c r="AQ37" s="38"/>
    </row>
    <row r="38" spans="1:43" x14ac:dyDescent="0.25">
      <c r="A38" s="10"/>
      <c r="B38" s="49" t="s">
        <v>24</v>
      </c>
      <c r="C38" s="81">
        <v>41268</v>
      </c>
      <c r="D38" s="3"/>
      <c r="E38" s="50"/>
      <c r="F38" s="2"/>
      <c r="G38" s="52"/>
      <c r="H38" s="15"/>
      <c r="I38" s="11">
        <v>6</v>
      </c>
      <c r="J38" s="50">
        <v>6.46</v>
      </c>
      <c r="K38" s="51">
        <v>0.22291666666666665</v>
      </c>
      <c r="L38" s="52">
        <v>0.20486111111111113</v>
      </c>
      <c r="M38" s="26">
        <v>2.2129629629629628E-2</v>
      </c>
      <c r="N38" s="44"/>
      <c r="O38" s="26"/>
      <c r="P38" s="53"/>
      <c r="Q38" s="54"/>
      <c r="R38" s="11"/>
      <c r="S38" s="50"/>
      <c r="T38" s="4"/>
      <c r="U38" s="11">
        <v>9</v>
      </c>
      <c r="V38" s="52">
        <v>0.18263888888888891</v>
      </c>
      <c r="W38" s="15">
        <v>2.736111111111111E-2</v>
      </c>
      <c r="X38" s="13">
        <f t="shared" si="0"/>
        <v>15.46</v>
      </c>
      <c r="Y38" s="87">
        <f t="shared" si="3"/>
        <v>15</v>
      </c>
      <c r="Z38" s="27">
        <f t="shared" si="1"/>
        <v>0.46000000000000085</v>
      </c>
      <c r="AA38" s="14">
        <f t="shared" si="2"/>
        <v>4.9490740740740738E-2</v>
      </c>
      <c r="AB38" s="32"/>
      <c r="AC38" s="51"/>
      <c r="AD38" s="3"/>
      <c r="AE38" s="9">
        <f>$AD$2-AD38</f>
        <v>79.7</v>
      </c>
      <c r="AG38" s="9">
        <f>$AF$2-AF38</f>
        <v>41</v>
      </c>
      <c r="AI38" s="9">
        <f>$AH$2-AH38</f>
        <v>58</v>
      </c>
      <c r="AK38" s="9">
        <f>$AJ$2-AJ38</f>
        <v>93</v>
      </c>
      <c r="AL38"/>
      <c r="AM38" s="9">
        <f>$AL$2-AL38</f>
        <v>102</v>
      </c>
      <c r="AO38" s="9">
        <f>$AN$2-AN38</f>
        <v>30</v>
      </c>
      <c r="AQ38" s="37">
        <f>$AP$2-AP38</f>
        <v>41</v>
      </c>
    </row>
    <row r="39" spans="1:43" x14ac:dyDescent="0.25">
      <c r="A39" s="10"/>
      <c r="B39" s="49" t="s">
        <v>15</v>
      </c>
      <c r="C39" s="81">
        <v>41269</v>
      </c>
      <c r="D39" s="3">
        <v>12</v>
      </c>
      <c r="E39" s="50">
        <v>14.4</v>
      </c>
      <c r="F39" s="2">
        <v>0.22291666666666665</v>
      </c>
      <c r="G39" s="52">
        <v>0.18819444444444444</v>
      </c>
      <c r="H39" s="15">
        <v>4.5266203703703704E-2</v>
      </c>
      <c r="I39" s="11"/>
      <c r="J39" s="50"/>
      <c r="K39" s="11"/>
      <c r="L39" s="50"/>
      <c r="M39" s="11"/>
      <c r="N39" s="44"/>
      <c r="O39" s="26"/>
      <c r="P39" s="53"/>
      <c r="Q39" s="54"/>
      <c r="R39" s="11"/>
      <c r="S39" s="50"/>
      <c r="T39" s="4"/>
      <c r="U39" s="11"/>
      <c r="V39" s="50"/>
      <c r="W39" s="4"/>
      <c r="X39" s="13">
        <f t="shared" si="0"/>
        <v>14.4</v>
      </c>
      <c r="Y39" s="87">
        <f t="shared" si="3"/>
        <v>12</v>
      </c>
      <c r="Z39" s="27">
        <f t="shared" si="1"/>
        <v>2.4000000000000004</v>
      </c>
      <c r="AA39" s="14">
        <f>H39+M39+T39+W39+O39</f>
        <v>4.5266203703703704E-2</v>
      </c>
      <c r="AB39" s="32"/>
      <c r="AC39" s="51"/>
      <c r="AD39" s="3"/>
      <c r="AL39"/>
      <c r="AQ39" s="37"/>
    </row>
    <row r="40" spans="1:43" x14ac:dyDescent="0.25">
      <c r="A40" s="10">
        <v>13</v>
      </c>
      <c r="B40" s="49" t="s">
        <v>29</v>
      </c>
      <c r="C40" s="81">
        <v>41271</v>
      </c>
      <c r="D40" s="3">
        <v>21</v>
      </c>
      <c r="E40" s="50">
        <v>23.24</v>
      </c>
      <c r="F40" s="51">
        <v>0.22291666666666665</v>
      </c>
      <c r="G40" s="52">
        <v>0.19444444444444445</v>
      </c>
      <c r="H40" s="15">
        <v>7.5289351851851857E-2</v>
      </c>
      <c r="I40" s="11"/>
      <c r="J40" s="50"/>
      <c r="K40" s="2"/>
      <c r="L40" s="52"/>
      <c r="M40" s="26"/>
      <c r="N40" s="44"/>
      <c r="O40" s="26"/>
      <c r="P40" s="53"/>
      <c r="Q40" s="54"/>
      <c r="R40" s="51"/>
      <c r="S40" s="52"/>
      <c r="T40" s="15"/>
      <c r="U40" s="11"/>
      <c r="V40" s="52"/>
      <c r="W40" s="4"/>
      <c r="X40" s="13">
        <f t="shared" si="0"/>
        <v>23.24</v>
      </c>
      <c r="Y40" s="87">
        <f t="shared" si="3"/>
        <v>21</v>
      </c>
      <c r="Z40" s="27">
        <f t="shared" si="1"/>
        <v>2.2399999999999984</v>
      </c>
      <c r="AA40" s="14">
        <f t="shared" si="2"/>
        <v>7.5289351851851857E-2</v>
      </c>
      <c r="AB40" s="32"/>
      <c r="AC40" s="51"/>
      <c r="AD40" s="3"/>
      <c r="AE40" s="55"/>
      <c r="AF40" s="11"/>
      <c r="AG40" s="55"/>
      <c r="AH40" s="11"/>
      <c r="AI40" s="55"/>
      <c r="AJ40" s="11"/>
      <c r="AK40" s="55"/>
      <c r="AL40" s="11"/>
      <c r="AM40" s="55"/>
      <c r="AN40" s="11"/>
      <c r="AO40" s="55"/>
      <c r="AP40" s="11"/>
      <c r="AQ40" s="37"/>
    </row>
    <row r="41" spans="1:43" x14ac:dyDescent="0.25">
      <c r="A41" s="56"/>
      <c r="B41" s="17" t="s">
        <v>27</v>
      </c>
      <c r="C41" s="85">
        <v>41273</v>
      </c>
      <c r="D41" s="19">
        <v>30</v>
      </c>
      <c r="E41" s="20">
        <v>30.53</v>
      </c>
      <c r="F41" s="21">
        <v>0.22291666666666665</v>
      </c>
      <c r="G41" s="22">
        <v>0.20486111111111113</v>
      </c>
      <c r="H41" s="23">
        <v>0.10422453703703705</v>
      </c>
      <c r="I41" s="18"/>
      <c r="J41" s="20"/>
      <c r="K41" s="18"/>
      <c r="L41" s="20"/>
      <c r="M41" s="18"/>
      <c r="N41" s="45"/>
      <c r="O41" s="84"/>
      <c r="P41" s="31"/>
      <c r="Q41" s="42"/>
      <c r="R41" s="21"/>
      <c r="S41" s="22"/>
      <c r="T41" s="24"/>
      <c r="U41" s="18"/>
      <c r="V41" s="20"/>
      <c r="W41" s="24"/>
      <c r="X41" s="28">
        <f t="shared" si="0"/>
        <v>30.53</v>
      </c>
      <c r="Y41" s="88">
        <f t="shared" si="3"/>
        <v>30</v>
      </c>
      <c r="Z41" s="34">
        <f t="shared" si="1"/>
        <v>0.53000000000000114</v>
      </c>
      <c r="AA41" s="58">
        <f t="shared" si="2"/>
        <v>0.10422453703703705</v>
      </c>
      <c r="AB41" s="33">
        <f>SUM(X38:X41)</f>
        <v>83.63</v>
      </c>
      <c r="AC41" s="21">
        <f>SUM(AA38:AA41)</f>
        <v>0.27427083333333335</v>
      </c>
      <c r="AD41" s="19"/>
      <c r="AE41" s="36"/>
      <c r="AF41" s="18"/>
      <c r="AG41" s="36"/>
      <c r="AH41" s="18"/>
      <c r="AI41" s="36"/>
      <c r="AJ41" s="18"/>
      <c r="AK41" s="36"/>
      <c r="AL41" s="18"/>
      <c r="AM41" s="36"/>
      <c r="AN41" s="18"/>
      <c r="AO41" s="36"/>
      <c r="AP41" s="18"/>
      <c r="AQ41" s="38"/>
    </row>
    <row r="42" spans="1:43" x14ac:dyDescent="0.25">
      <c r="A42" s="10"/>
      <c r="B42" s="49" t="s">
        <v>24</v>
      </c>
      <c r="C42" s="81">
        <v>41275</v>
      </c>
      <c r="D42" s="3">
        <v>13</v>
      </c>
      <c r="E42" s="50">
        <v>13.31</v>
      </c>
      <c r="F42" s="2">
        <v>0.22291666666666665</v>
      </c>
      <c r="G42" s="52">
        <v>0.21319444444444444</v>
      </c>
      <c r="H42" s="15">
        <v>4.7349537037037037E-2</v>
      </c>
      <c r="I42" s="11"/>
      <c r="J42" s="50"/>
      <c r="K42" s="11"/>
      <c r="L42" s="50"/>
      <c r="M42" s="11"/>
      <c r="N42" s="44"/>
      <c r="O42" s="26"/>
      <c r="P42" s="53"/>
      <c r="Q42" s="54"/>
      <c r="R42" s="51"/>
      <c r="S42" s="52"/>
      <c r="T42" s="15"/>
      <c r="U42" s="11"/>
      <c r="V42" s="50"/>
      <c r="W42" s="11"/>
      <c r="X42" s="60">
        <f t="shared" si="0"/>
        <v>13.31</v>
      </c>
      <c r="Y42" s="87">
        <f t="shared" si="3"/>
        <v>13</v>
      </c>
      <c r="Z42" s="27">
        <f t="shared" si="1"/>
        <v>0.3100000000000005</v>
      </c>
      <c r="AA42" s="62">
        <f t="shared" si="2"/>
        <v>4.7349537037037037E-2</v>
      </c>
      <c r="AB42" s="59"/>
      <c r="AC42" s="51"/>
      <c r="AD42" s="3"/>
      <c r="AE42" s="9">
        <f>$AD$2-AD42</f>
        <v>79.7</v>
      </c>
      <c r="AG42" s="9">
        <f>$AF$2-AF42</f>
        <v>41</v>
      </c>
      <c r="AI42" s="9">
        <f>$AH$2-AH42</f>
        <v>58</v>
      </c>
      <c r="AK42" s="9">
        <f>$AJ$2-AJ42</f>
        <v>93</v>
      </c>
      <c r="AL42"/>
      <c r="AM42" s="9">
        <f>$AL$2-AL42</f>
        <v>102</v>
      </c>
      <c r="AO42" s="9">
        <f>$AN$2-AN42</f>
        <v>30</v>
      </c>
      <c r="AQ42" s="37">
        <f>$AP$2-AP42</f>
        <v>41</v>
      </c>
    </row>
    <row r="43" spans="1:43" x14ac:dyDescent="0.25">
      <c r="A43" s="10"/>
      <c r="B43" s="49" t="s">
        <v>26</v>
      </c>
      <c r="C43" s="81">
        <v>41277</v>
      </c>
      <c r="D43" s="3">
        <v>12</v>
      </c>
      <c r="E43" s="50">
        <v>12.9</v>
      </c>
      <c r="F43" s="2">
        <v>0.22291666666666665</v>
      </c>
      <c r="G43" s="52">
        <v>0.19166666666666665</v>
      </c>
      <c r="H43" s="15">
        <v>4.1192129629629634E-2</v>
      </c>
      <c r="I43" s="11"/>
      <c r="J43" s="50"/>
      <c r="K43" s="11"/>
      <c r="L43" s="50"/>
      <c r="M43" s="11"/>
      <c r="N43" s="44"/>
      <c r="O43" s="26"/>
      <c r="P43" s="53"/>
      <c r="Q43" s="54"/>
      <c r="R43" s="51"/>
      <c r="S43" s="52"/>
      <c r="T43" s="15"/>
      <c r="U43" s="11"/>
      <c r="V43" s="50"/>
      <c r="W43" s="11"/>
      <c r="X43" s="61">
        <f t="shared" si="0"/>
        <v>12.9</v>
      </c>
      <c r="Y43" s="87">
        <f t="shared" si="3"/>
        <v>12</v>
      </c>
      <c r="Z43" s="27">
        <f t="shared" si="1"/>
        <v>0.90000000000000036</v>
      </c>
      <c r="AA43" s="63">
        <f>H43+M43+T43+W43+O43</f>
        <v>4.1192129629629634E-2</v>
      </c>
      <c r="AB43" s="59"/>
      <c r="AC43" s="51"/>
      <c r="AD43" s="3"/>
      <c r="AL43"/>
      <c r="AQ43" s="37"/>
    </row>
    <row r="44" spans="1:43" x14ac:dyDescent="0.25">
      <c r="A44" s="10">
        <v>14</v>
      </c>
      <c r="B44" s="49" t="s">
        <v>29</v>
      </c>
      <c r="C44" s="81">
        <v>41278</v>
      </c>
      <c r="D44" s="3">
        <v>16</v>
      </c>
      <c r="E44" s="50">
        <v>16.36</v>
      </c>
      <c r="F44" s="51">
        <v>0.22291666666666665</v>
      </c>
      <c r="G44" s="52">
        <v>0.18888888888888888</v>
      </c>
      <c r="H44" s="15">
        <v>5.1481481481481482E-2</v>
      </c>
      <c r="I44" s="11"/>
      <c r="J44" s="50"/>
      <c r="K44" s="2"/>
      <c r="L44" s="52"/>
      <c r="M44" s="26"/>
      <c r="N44" s="44"/>
      <c r="O44" s="26"/>
      <c r="P44" s="53"/>
      <c r="Q44" s="54"/>
      <c r="R44" s="51"/>
      <c r="S44" s="52"/>
      <c r="T44" s="15"/>
      <c r="U44" s="11"/>
      <c r="V44" s="50"/>
      <c r="W44" s="11"/>
      <c r="X44" s="61">
        <f t="shared" si="0"/>
        <v>16.36</v>
      </c>
      <c r="Y44" s="87">
        <f t="shared" si="3"/>
        <v>16</v>
      </c>
      <c r="Z44" s="27">
        <f t="shared" si="1"/>
        <v>0.35999999999999943</v>
      </c>
      <c r="AA44" s="63">
        <f t="shared" si="2"/>
        <v>5.1481481481481482E-2</v>
      </c>
      <c r="AB44" s="59"/>
      <c r="AC44" s="51"/>
      <c r="AD44" s="3"/>
      <c r="AE44" s="55"/>
      <c r="AF44" s="11"/>
      <c r="AG44" s="55"/>
      <c r="AH44" s="11"/>
      <c r="AI44" s="55"/>
      <c r="AJ44" s="11"/>
      <c r="AK44" s="55"/>
      <c r="AL44" s="11"/>
      <c r="AM44" s="55"/>
      <c r="AN44" s="11"/>
      <c r="AO44" s="55"/>
      <c r="AP44" s="11"/>
      <c r="AQ44" s="37"/>
    </row>
    <row r="45" spans="1:43" x14ac:dyDescent="0.25">
      <c r="A45" s="56"/>
      <c r="B45" s="17" t="s">
        <v>27</v>
      </c>
      <c r="C45" s="85">
        <v>41280</v>
      </c>
      <c r="D45" s="19">
        <v>24</v>
      </c>
      <c r="E45" s="20">
        <v>24.02</v>
      </c>
      <c r="F45" s="21">
        <v>0.22291666666666665</v>
      </c>
      <c r="G45" s="22">
        <v>0.20208333333333331</v>
      </c>
      <c r="H45" s="23">
        <v>8.082175925925926E-2</v>
      </c>
      <c r="I45" s="18"/>
      <c r="J45" s="20"/>
      <c r="K45" s="18"/>
      <c r="L45" s="20"/>
      <c r="M45" s="18"/>
      <c r="N45" s="45"/>
      <c r="O45" s="84"/>
      <c r="P45" s="31"/>
      <c r="Q45" s="42"/>
      <c r="R45" s="18"/>
      <c r="S45" s="20"/>
      <c r="T45" s="24"/>
      <c r="U45" s="18"/>
      <c r="V45" s="20"/>
      <c r="W45" s="18"/>
      <c r="X45" s="28">
        <f t="shared" si="0"/>
        <v>24.02</v>
      </c>
      <c r="Y45" s="88">
        <f t="shared" si="3"/>
        <v>24</v>
      </c>
      <c r="Z45" s="34">
        <f t="shared" si="1"/>
        <v>1.9999999999999574E-2</v>
      </c>
      <c r="AA45" s="58">
        <f t="shared" si="2"/>
        <v>8.082175925925926E-2</v>
      </c>
      <c r="AB45" s="33">
        <f>SUM(X42:X45)</f>
        <v>66.59</v>
      </c>
      <c r="AC45" s="21">
        <f>SUM(AA42:AA45)</f>
        <v>0.22084490740740742</v>
      </c>
      <c r="AD45" s="19"/>
      <c r="AE45" s="36"/>
      <c r="AF45" s="18"/>
      <c r="AG45" s="36"/>
      <c r="AH45" s="18"/>
      <c r="AI45" s="36"/>
      <c r="AJ45" s="18"/>
      <c r="AK45" s="36"/>
      <c r="AL45" s="18"/>
      <c r="AM45" s="36"/>
      <c r="AN45" s="18"/>
      <c r="AO45" s="36"/>
      <c r="AP45" s="18"/>
      <c r="AQ45" s="38"/>
    </row>
    <row r="46" spans="1:43" x14ac:dyDescent="0.25">
      <c r="A46" s="10"/>
      <c r="B46" s="49" t="s">
        <v>24</v>
      </c>
      <c r="C46" s="81">
        <v>41282</v>
      </c>
      <c r="D46" s="3">
        <v>11</v>
      </c>
      <c r="E46" s="50">
        <v>11.23</v>
      </c>
      <c r="F46" s="51">
        <v>0.22291666666666665</v>
      </c>
      <c r="G46" s="52">
        <v>0.19791666666666666</v>
      </c>
      <c r="H46" s="15">
        <v>3.6990740740740741E-2</v>
      </c>
      <c r="I46" s="11"/>
      <c r="J46" s="50"/>
      <c r="K46" s="11"/>
      <c r="L46" s="50"/>
      <c r="M46" s="11"/>
      <c r="N46" s="44"/>
      <c r="O46" s="26"/>
      <c r="P46" s="53"/>
      <c r="Q46" s="54"/>
      <c r="R46" s="11"/>
      <c r="S46" s="50"/>
      <c r="T46" s="4"/>
      <c r="U46" s="11"/>
      <c r="V46" s="50"/>
      <c r="W46" s="11"/>
      <c r="X46" s="60">
        <f t="shared" si="0"/>
        <v>11.23</v>
      </c>
      <c r="Y46" s="87">
        <f t="shared" si="3"/>
        <v>11</v>
      </c>
      <c r="Z46" s="27">
        <f t="shared" si="1"/>
        <v>0.23000000000000043</v>
      </c>
      <c r="AA46" s="62">
        <f t="shared" si="2"/>
        <v>3.6990740740740741E-2</v>
      </c>
      <c r="AB46" s="59"/>
      <c r="AC46" s="51"/>
      <c r="AD46" s="3"/>
      <c r="AE46" s="9">
        <f>$AD$2-AD46</f>
        <v>79.7</v>
      </c>
      <c r="AG46" s="9">
        <f>$AF$2-AF46</f>
        <v>41</v>
      </c>
      <c r="AI46" s="9">
        <f>$AH$2-AH46</f>
        <v>58</v>
      </c>
      <c r="AK46" s="9">
        <f>$AJ$2-AJ46</f>
        <v>93</v>
      </c>
      <c r="AL46"/>
      <c r="AM46" s="9">
        <f>$AL$2-AL46</f>
        <v>102</v>
      </c>
      <c r="AO46" s="9">
        <f>$AN$2-AN46</f>
        <v>30</v>
      </c>
      <c r="AQ46" s="37">
        <f>$AP$2-AP46</f>
        <v>41</v>
      </c>
    </row>
    <row r="47" spans="1:43" x14ac:dyDescent="0.25">
      <c r="A47" s="10"/>
      <c r="B47" s="49" t="s">
        <v>26</v>
      </c>
      <c r="C47" s="81">
        <v>41284</v>
      </c>
      <c r="D47" s="3"/>
      <c r="E47" s="50"/>
      <c r="F47" s="51"/>
      <c r="G47" s="52"/>
      <c r="H47" s="15"/>
      <c r="I47" s="11">
        <v>4</v>
      </c>
      <c r="J47" s="50">
        <v>3.93</v>
      </c>
      <c r="K47" s="11"/>
      <c r="L47" s="50"/>
      <c r="M47" s="11"/>
      <c r="N47" s="44">
        <v>1.33</v>
      </c>
      <c r="O47" s="26">
        <v>6.2499999999999995E-3</v>
      </c>
      <c r="P47" s="53" t="s">
        <v>37</v>
      </c>
      <c r="Q47" s="54">
        <v>3</v>
      </c>
      <c r="R47" s="51">
        <v>0.16458333333333333</v>
      </c>
      <c r="S47" s="52">
        <v>0.16250000000000001</v>
      </c>
      <c r="T47" s="15">
        <v>8.1249999999999985E-3</v>
      </c>
      <c r="U47" s="11"/>
      <c r="V47" s="50"/>
      <c r="W47" s="11"/>
      <c r="X47" s="61">
        <f t="shared" si="0"/>
        <v>8.26</v>
      </c>
      <c r="Y47" s="87">
        <f>D47+I47+Q47+U47+N47</f>
        <v>8.33</v>
      </c>
      <c r="Z47" s="27">
        <f t="shared" si="1"/>
        <v>-7.0000000000000284E-2</v>
      </c>
      <c r="AA47" s="63">
        <f>H47+M47+T47+W47+O47</f>
        <v>1.4374999999999999E-2</v>
      </c>
      <c r="AB47" s="59"/>
      <c r="AC47" s="51"/>
      <c r="AD47" s="3"/>
      <c r="AE47" s="55"/>
      <c r="AF47" s="11"/>
      <c r="AG47" s="55"/>
      <c r="AH47" s="11"/>
      <c r="AI47" s="55"/>
      <c r="AJ47" s="11"/>
      <c r="AK47" s="55"/>
      <c r="AL47" s="11"/>
      <c r="AM47" s="55"/>
      <c r="AN47" s="11"/>
      <c r="AO47" s="55"/>
      <c r="AP47" s="11"/>
      <c r="AQ47" s="37"/>
    </row>
    <row r="48" spans="1:43" x14ac:dyDescent="0.25">
      <c r="A48" s="10">
        <v>15</v>
      </c>
      <c r="B48" s="49" t="s">
        <v>29</v>
      </c>
      <c r="C48" s="81">
        <v>41285</v>
      </c>
      <c r="D48" s="3">
        <v>12</v>
      </c>
      <c r="E48" s="50">
        <v>12.37</v>
      </c>
      <c r="F48" s="51">
        <v>0.22291666666666665</v>
      </c>
      <c r="G48" s="52">
        <v>0.18611111111111112</v>
      </c>
      <c r="H48" s="15">
        <v>3.8391203703703698E-2</v>
      </c>
      <c r="I48" s="11"/>
      <c r="J48" s="50"/>
      <c r="K48" s="11"/>
      <c r="L48" s="50"/>
      <c r="M48" s="11"/>
      <c r="N48" s="44"/>
      <c r="O48" s="26"/>
      <c r="P48" s="53"/>
      <c r="Q48" s="54"/>
      <c r="R48" s="11"/>
      <c r="S48" s="50"/>
      <c r="T48" s="4"/>
      <c r="U48" s="11"/>
      <c r="V48" s="50"/>
      <c r="W48" s="11"/>
      <c r="X48" s="61">
        <f t="shared" si="0"/>
        <v>12.37</v>
      </c>
      <c r="Y48" s="87">
        <f t="shared" si="3"/>
        <v>12</v>
      </c>
      <c r="Z48" s="27">
        <f t="shared" si="1"/>
        <v>0.36999999999999922</v>
      </c>
      <c r="AA48" s="63">
        <f>H48+M48+T48+W48+O48</f>
        <v>3.8391203703703698E-2</v>
      </c>
      <c r="AB48" s="59"/>
      <c r="AC48" s="51"/>
      <c r="AD48" s="3"/>
      <c r="AE48" s="55"/>
      <c r="AF48" s="11"/>
      <c r="AG48" s="55"/>
      <c r="AH48" s="11"/>
      <c r="AI48" s="55"/>
      <c r="AJ48" s="11"/>
      <c r="AK48" s="55"/>
      <c r="AL48" s="11"/>
      <c r="AM48" s="55"/>
      <c r="AN48" s="11"/>
      <c r="AO48" s="55"/>
      <c r="AP48" s="11"/>
      <c r="AQ48" s="37"/>
    </row>
    <row r="49" spans="1:43" x14ac:dyDescent="0.25">
      <c r="A49" s="56"/>
      <c r="B49" s="17" t="s">
        <v>27</v>
      </c>
      <c r="C49" s="85">
        <v>41287</v>
      </c>
      <c r="D49" s="19">
        <v>18</v>
      </c>
      <c r="E49" s="20">
        <v>18.579999999999998</v>
      </c>
      <c r="F49" s="21">
        <v>0.22291666666666665</v>
      </c>
      <c r="G49" s="22">
        <v>0.20138888888888887</v>
      </c>
      <c r="H49" s="23">
        <v>6.2314814814814816E-2</v>
      </c>
      <c r="I49" s="18"/>
      <c r="J49" s="20"/>
      <c r="K49" s="18"/>
      <c r="L49" s="20"/>
      <c r="M49" s="18"/>
      <c r="N49" s="45"/>
      <c r="O49" s="84"/>
      <c r="P49" s="31"/>
      <c r="Q49" s="42"/>
      <c r="R49" s="18"/>
      <c r="S49" s="20"/>
      <c r="T49" s="24"/>
      <c r="U49" s="18"/>
      <c r="V49" s="20"/>
      <c r="W49" s="18"/>
      <c r="X49" s="28">
        <f t="shared" si="0"/>
        <v>18.579999999999998</v>
      </c>
      <c r="Y49" s="88">
        <f t="shared" si="3"/>
        <v>18</v>
      </c>
      <c r="Z49" s="34">
        <f>X49-Y49</f>
        <v>0.57999999999999829</v>
      </c>
      <c r="AA49" s="58">
        <f>H49+M49+T49+W49</f>
        <v>6.2314814814814816E-2</v>
      </c>
      <c r="AB49" s="33">
        <f>SUM(X46:X49)</f>
        <v>50.44</v>
      </c>
      <c r="AC49" s="21">
        <f>SUM(AA46:AA49)</f>
        <v>0.15207175925925925</v>
      </c>
      <c r="AD49" s="19"/>
      <c r="AE49" s="36"/>
      <c r="AF49" s="18"/>
      <c r="AG49" s="36"/>
      <c r="AH49" s="18"/>
      <c r="AI49" s="36"/>
      <c r="AJ49" s="18"/>
      <c r="AK49" s="36"/>
      <c r="AL49" s="18"/>
      <c r="AM49" s="36"/>
      <c r="AN49" s="18"/>
      <c r="AO49" s="36"/>
      <c r="AP49" s="18"/>
      <c r="AQ49" s="38"/>
    </row>
    <row r="50" spans="1:43" x14ac:dyDescent="0.25">
      <c r="A50" s="10"/>
      <c r="B50" s="49" t="s">
        <v>24</v>
      </c>
      <c r="C50" s="81">
        <v>41289</v>
      </c>
      <c r="D50" s="3">
        <v>10</v>
      </c>
      <c r="E50" s="50">
        <v>10.32</v>
      </c>
      <c r="F50" s="51">
        <v>0.22291666666666665</v>
      </c>
      <c r="G50" s="52">
        <v>0.2076388888888889</v>
      </c>
      <c r="H50" s="15">
        <v>3.5694444444444445E-2</v>
      </c>
      <c r="I50" s="11"/>
      <c r="J50" s="50"/>
      <c r="K50" s="11"/>
      <c r="L50" s="50"/>
      <c r="M50" s="11"/>
      <c r="N50" s="44"/>
      <c r="O50" s="26"/>
      <c r="P50" s="53"/>
      <c r="Q50" s="54"/>
      <c r="R50" s="11"/>
      <c r="S50" s="50"/>
      <c r="T50" s="4"/>
      <c r="U50" s="11"/>
      <c r="V50" s="50"/>
      <c r="W50" s="11"/>
      <c r="X50" s="60">
        <f t="shared" si="0"/>
        <v>10.32</v>
      </c>
      <c r="Y50" s="87">
        <f t="shared" si="3"/>
        <v>10</v>
      </c>
      <c r="Z50" s="27">
        <f t="shared" si="1"/>
        <v>0.32000000000000028</v>
      </c>
      <c r="AA50" s="62">
        <f t="shared" si="2"/>
        <v>3.5694444444444445E-2</v>
      </c>
      <c r="AB50" s="59"/>
      <c r="AC50" s="51"/>
      <c r="AD50" s="3"/>
      <c r="AE50" s="9">
        <f>$AD$2-AD51</f>
        <v>79.7</v>
      </c>
      <c r="AG50" s="9">
        <f>$AF$2-AF50</f>
        <v>41</v>
      </c>
      <c r="AI50" s="9">
        <f>$AH$2-AH50</f>
        <v>58</v>
      </c>
      <c r="AK50" s="9">
        <f>$AJ$2-AJ50</f>
        <v>93</v>
      </c>
      <c r="AL50"/>
      <c r="AM50" s="9">
        <f>$AL$2-AL50</f>
        <v>102</v>
      </c>
      <c r="AO50" s="9">
        <f>$AN$2-AN50</f>
        <v>30</v>
      </c>
      <c r="AQ50" s="37">
        <f>$AP$2-AP50</f>
        <v>41</v>
      </c>
    </row>
    <row r="51" spans="1:43" x14ac:dyDescent="0.25">
      <c r="A51" s="10">
        <v>16</v>
      </c>
      <c r="B51" s="49" t="s">
        <v>26</v>
      </c>
      <c r="C51" s="81">
        <v>41291</v>
      </c>
      <c r="D51" s="3">
        <v>8</v>
      </c>
      <c r="E51" s="50">
        <v>8.5</v>
      </c>
      <c r="F51" s="2">
        <v>0.22291666666666665</v>
      </c>
      <c r="G51" s="52">
        <v>0.20416666666666669</v>
      </c>
      <c r="H51" s="15">
        <v>2.8935185185185185E-2</v>
      </c>
      <c r="I51" s="11"/>
      <c r="J51" s="50"/>
      <c r="K51" s="11"/>
      <c r="L51" s="50"/>
      <c r="M51" s="11"/>
      <c r="N51" s="44"/>
      <c r="O51" s="26"/>
      <c r="P51" s="53"/>
      <c r="Q51" s="54"/>
      <c r="R51" s="11"/>
      <c r="S51" s="50"/>
      <c r="T51" s="4"/>
      <c r="U51" s="11"/>
      <c r="V51" s="50"/>
      <c r="W51" s="11"/>
      <c r="X51" s="61">
        <f t="shared" si="0"/>
        <v>8.5</v>
      </c>
      <c r="Y51" s="87">
        <f t="shared" si="3"/>
        <v>8</v>
      </c>
      <c r="Z51" s="27">
        <f t="shared" si="1"/>
        <v>0.5</v>
      </c>
      <c r="AA51" s="63">
        <f t="shared" si="2"/>
        <v>2.8935185185185185E-2</v>
      </c>
      <c r="AB51" s="59"/>
      <c r="AC51" s="51"/>
      <c r="AD51" s="3"/>
    </row>
    <row r="52" spans="1:43" x14ac:dyDescent="0.25">
      <c r="B52" s="49"/>
      <c r="C52" s="81"/>
      <c r="D52" s="3">
        <v>7</v>
      </c>
      <c r="E52" s="50">
        <v>0</v>
      </c>
      <c r="F52" s="2"/>
      <c r="G52" s="52"/>
      <c r="H52" s="15"/>
      <c r="I52" s="11"/>
      <c r="J52" s="50"/>
      <c r="K52" s="2"/>
      <c r="L52" s="52"/>
      <c r="M52" s="26"/>
      <c r="N52" s="44"/>
      <c r="O52" s="26"/>
      <c r="P52" s="53"/>
      <c r="Q52" s="54"/>
      <c r="R52" s="11"/>
      <c r="S52" s="64"/>
      <c r="T52" s="15"/>
      <c r="U52" s="11"/>
      <c r="V52" s="50"/>
      <c r="W52" s="11"/>
      <c r="X52" s="61">
        <f t="shared" si="0"/>
        <v>0</v>
      </c>
      <c r="Y52" s="87">
        <f t="shared" si="3"/>
        <v>7</v>
      </c>
      <c r="Z52" s="27">
        <f t="shared" si="1"/>
        <v>-7</v>
      </c>
      <c r="AA52" s="63">
        <f t="shared" si="2"/>
        <v>0</v>
      </c>
      <c r="AB52" s="59"/>
      <c r="AC52" s="51"/>
      <c r="AD52" s="3"/>
      <c r="AE52" s="55"/>
      <c r="AF52" s="11"/>
      <c r="AG52" s="55"/>
      <c r="AH52" s="11"/>
      <c r="AI52" s="55"/>
      <c r="AJ52" s="11"/>
      <c r="AK52" s="55"/>
      <c r="AL52" s="11"/>
      <c r="AM52" s="55"/>
      <c r="AN52" s="11"/>
      <c r="AO52" s="55"/>
      <c r="AP52" s="11"/>
      <c r="AQ52" s="37"/>
    </row>
    <row r="53" spans="1:43" x14ac:dyDescent="0.25">
      <c r="A53" s="65"/>
      <c r="B53" s="66" t="s">
        <v>27</v>
      </c>
      <c r="C53" s="86">
        <v>41294</v>
      </c>
      <c r="D53" s="68"/>
      <c r="E53" s="69"/>
      <c r="F53" s="70"/>
      <c r="G53" s="69"/>
      <c r="H53" s="78"/>
      <c r="I53" s="70"/>
      <c r="J53" s="69"/>
      <c r="K53" s="70"/>
      <c r="L53" s="69"/>
      <c r="M53" s="70"/>
      <c r="N53" s="77"/>
      <c r="O53" s="83"/>
      <c r="P53" s="71"/>
      <c r="Q53" s="72"/>
      <c r="R53" s="70"/>
      <c r="S53" s="69"/>
      <c r="T53" s="76"/>
      <c r="U53" s="70">
        <v>42.195</v>
      </c>
      <c r="V53" s="79">
        <v>0.21666666666666667</v>
      </c>
      <c r="W53" s="80">
        <v>0.15282407407407408</v>
      </c>
      <c r="X53" s="75">
        <f>U53</f>
        <v>42.195</v>
      </c>
      <c r="Y53" s="70">
        <v>42.195</v>
      </c>
      <c r="Z53" s="67">
        <f>X53-Y53</f>
        <v>0</v>
      </c>
      <c r="AA53" s="58">
        <f t="shared" si="2"/>
        <v>0.15282407407407408</v>
      </c>
      <c r="AB53" s="68"/>
      <c r="AC53" s="76"/>
      <c r="AD53" s="70"/>
      <c r="AE53" s="73">
        <f>$AD$2-AD53</f>
        <v>79.7</v>
      </c>
      <c r="AF53" s="70"/>
      <c r="AG53" s="73"/>
      <c r="AH53" s="70"/>
      <c r="AI53" s="73"/>
      <c r="AJ53" s="70"/>
      <c r="AK53" s="73"/>
      <c r="AL53" s="70"/>
      <c r="AM53" s="73"/>
      <c r="AN53" s="70"/>
      <c r="AO53" s="73"/>
      <c r="AP53" s="70"/>
      <c r="AQ53" s="74"/>
    </row>
    <row r="54" spans="1:43" x14ac:dyDescent="0.25">
      <c r="A54" s="6"/>
      <c r="H54" s="48"/>
    </row>
    <row r="55" spans="1:43" x14ac:dyDescent="0.25">
      <c r="A55" s="6"/>
      <c r="H55" s="48"/>
      <c r="X55" s="13">
        <f>SUM(X2:X54)</f>
        <v>849.85500000000002</v>
      </c>
      <c r="Y55" s="13">
        <f>SUM(Y2:Y54)</f>
        <v>856.16500000000008</v>
      </c>
      <c r="Z55" s="13">
        <f>X55-Y55</f>
        <v>-6.3100000000000591</v>
      </c>
      <c r="AA55" s="14">
        <f>SUM(AA2:AA54)</f>
        <v>2.8471759259259253</v>
      </c>
      <c r="AB55" s="35">
        <f>SUM(AB2:AB52)</f>
        <v>788.84000000000015</v>
      </c>
      <c r="AC55" s="21">
        <f>SUM(AC2:AC54)</f>
        <v>2.6297222222222221</v>
      </c>
    </row>
    <row r="56" spans="1:43" x14ac:dyDescent="0.25">
      <c r="A56" s="6"/>
      <c r="D56">
        <f>SUM(D2:D52)</f>
        <v>676</v>
      </c>
      <c r="E56">
        <f>SUM(E2:E52)</f>
        <v>670.36</v>
      </c>
      <c r="H56" s="48"/>
      <c r="I56">
        <f>SUM(I2:I52)</f>
        <v>58</v>
      </c>
      <c r="J56">
        <f>SUM(J2:J52)</f>
        <v>57.33</v>
      </c>
      <c r="Q56">
        <f>SUM(Q2:Q52)</f>
        <v>18</v>
      </c>
      <c r="U56">
        <f>SUM(U2:U52)</f>
        <v>54</v>
      </c>
      <c r="V56"/>
    </row>
    <row r="57" spans="1:43" x14ac:dyDescent="0.25">
      <c r="A57" s="6"/>
    </row>
    <row r="58" spans="1:43" x14ac:dyDescent="0.25">
      <c r="A58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17"/>
  <sheetViews>
    <sheetView zoomScaleNormal="100" workbookViewId="0">
      <pane ySplit="1" topLeftCell="A50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8.140625" customWidth="1"/>
    <col min="5" max="5" width="8.140625" style="41" customWidth="1"/>
    <col min="6" max="6" width="8.140625" customWidth="1"/>
    <col min="7" max="9" width="8.140625" style="13" customWidth="1"/>
    <col min="10" max="10" width="8.140625" style="174" customWidth="1"/>
    <col min="11" max="11" width="8.140625" customWidth="1"/>
    <col min="12" max="12" width="8.140625" style="13" customWidth="1"/>
    <col min="13" max="13" width="8.140625" customWidth="1"/>
    <col min="14" max="16" width="8.140625" style="13" customWidth="1"/>
    <col min="17" max="17" width="8.140625" customWidth="1"/>
    <col min="18" max="19" width="8.140625" style="46" customWidth="1"/>
    <col min="20" max="20" width="8.140625" style="30" customWidth="1"/>
    <col min="21" max="21" width="8.140625" style="41" customWidth="1"/>
    <col min="22" max="22" width="8.140625" customWidth="1"/>
    <col min="23" max="25" width="8.140625" style="13" customWidth="1"/>
    <col min="26" max="28" width="8.140625" customWidth="1"/>
    <col min="29" max="31" width="8.140625" style="13" customWidth="1"/>
    <col min="32" max="32" width="8.140625" customWidth="1"/>
    <col min="33" max="33" width="8.140625" style="13" customWidth="1"/>
    <col min="34" max="34" width="8.140625" customWidth="1"/>
    <col min="35" max="35" width="6.28515625" customWidth="1"/>
    <col min="36" max="36" width="8.140625" style="13" customWidth="1"/>
    <col min="37" max="37" width="7.5703125" style="13" bestFit="1" customWidth="1"/>
    <col min="38" max="38" width="8.140625" style="13" bestFit="1" customWidth="1"/>
    <col min="39" max="39" width="8.140625" customWidth="1"/>
    <col min="40" max="40" width="8.140625" style="9" customWidth="1"/>
    <col min="41" max="41" width="8.140625" customWidth="1"/>
    <col min="42" max="42" width="8.140625" style="9" customWidth="1"/>
    <col min="43" max="43" width="8.140625" customWidth="1"/>
    <col min="44" max="44" width="8.140625" style="9" customWidth="1"/>
    <col min="45" max="45" width="8.140625" customWidth="1"/>
    <col min="46" max="48" width="8.140625" style="9" customWidth="1"/>
    <col min="49" max="49" width="8.140625" customWidth="1"/>
    <col min="50" max="56" width="8.140625" style="9" customWidth="1"/>
    <col min="57" max="57" width="8.140625" customWidth="1"/>
    <col min="58" max="58" width="8.140625" style="9" customWidth="1"/>
    <col min="59" max="59" width="10.42578125" bestFit="1" customWidth="1"/>
    <col min="60" max="72" width="8.140625" customWidth="1"/>
  </cols>
  <sheetData>
    <row r="1" spans="1:58" s="6" customFormat="1" x14ac:dyDescent="0.25">
      <c r="D1" s="7" t="s">
        <v>1</v>
      </c>
      <c r="E1" s="40" t="s">
        <v>4</v>
      </c>
      <c r="F1" s="6" t="s">
        <v>7</v>
      </c>
      <c r="G1" s="12" t="s">
        <v>4</v>
      </c>
      <c r="H1" s="6" t="s">
        <v>149</v>
      </c>
      <c r="I1" s="12" t="s">
        <v>148</v>
      </c>
      <c r="J1" s="170" t="s">
        <v>8</v>
      </c>
      <c r="K1" s="6" t="s">
        <v>16</v>
      </c>
      <c r="L1" s="12" t="s">
        <v>4</v>
      </c>
      <c r="M1" s="6" t="s">
        <v>7</v>
      </c>
      <c r="N1" s="12" t="s">
        <v>4</v>
      </c>
      <c r="O1" s="6" t="s">
        <v>149</v>
      </c>
      <c r="P1" s="12" t="s">
        <v>148</v>
      </c>
      <c r="Q1" s="10" t="s">
        <v>8</v>
      </c>
      <c r="R1" s="43" t="s">
        <v>20</v>
      </c>
      <c r="S1" s="82" t="s">
        <v>42</v>
      </c>
      <c r="T1" s="149" t="s">
        <v>2</v>
      </c>
      <c r="U1" s="40" t="s">
        <v>4</v>
      </c>
      <c r="V1" s="6" t="s">
        <v>7</v>
      </c>
      <c r="W1" s="12" t="s">
        <v>4</v>
      </c>
      <c r="X1" s="6" t="s">
        <v>149</v>
      </c>
      <c r="Y1" s="12" t="s">
        <v>148</v>
      </c>
      <c r="Z1" s="8" t="s">
        <v>8</v>
      </c>
      <c r="AA1" s="6" t="s">
        <v>45</v>
      </c>
      <c r="AB1" s="6" t="s">
        <v>7</v>
      </c>
      <c r="AC1" s="12" t="s">
        <v>4</v>
      </c>
      <c r="AD1" s="6" t="s">
        <v>149</v>
      </c>
      <c r="AE1" s="12" t="s">
        <v>148</v>
      </c>
      <c r="AF1" s="8" t="s">
        <v>8</v>
      </c>
      <c r="AG1" s="12" t="s">
        <v>19</v>
      </c>
      <c r="AH1" s="9" t="s">
        <v>6</v>
      </c>
      <c r="AI1" s="9" t="s">
        <v>5</v>
      </c>
      <c r="AJ1" s="12" t="s">
        <v>8</v>
      </c>
      <c r="AK1" s="6" t="s">
        <v>25</v>
      </c>
      <c r="AL1" s="6" t="s">
        <v>22</v>
      </c>
      <c r="AM1" s="7" t="s">
        <v>9</v>
      </c>
      <c r="AN1" s="9" t="s">
        <v>5</v>
      </c>
      <c r="AO1" s="6" t="s">
        <v>153</v>
      </c>
      <c r="AP1" s="9" t="s">
        <v>5</v>
      </c>
      <c r="AQ1" s="6" t="s">
        <v>154</v>
      </c>
      <c r="AR1" s="9" t="s">
        <v>5</v>
      </c>
      <c r="AS1" s="6" t="s">
        <v>39</v>
      </c>
      <c r="AT1" s="9" t="s">
        <v>5</v>
      </c>
      <c r="AU1" s="6" t="s">
        <v>155</v>
      </c>
      <c r="AV1" s="9" t="s">
        <v>5</v>
      </c>
      <c r="AW1" s="6" t="s">
        <v>152</v>
      </c>
      <c r="AX1" s="9" t="s">
        <v>5</v>
      </c>
      <c r="AY1" s="6" t="s">
        <v>157</v>
      </c>
      <c r="AZ1" s="9" t="s">
        <v>5</v>
      </c>
      <c r="BA1" s="6" t="s">
        <v>156</v>
      </c>
      <c r="BB1" s="9" t="s">
        <v>5</v>
      </c>
      <c r="BC1" s="6" t="s">
        <v>158</v>
      </c>
      <c r="BD1" s="9" t="s">
        <v>5</v>
      </c>
      <c r="BE1" s="6" t="s">
        <v>159</v>
      </c>
      <c r="BF1" s="37" t="s">
        <v>5</v>
      </c>
    </row>
    <row r="2" spans="1:58" x14ac:dyDescent="0.25">
      <c r="B2" s="1" t="s">
        <v>0</v>
      </c>
      <c r="C2" s="81">
        <v>41666</v>
      </c>
      <c r="D2" s="3">
        <v>9</v>
      </c>
      <c r="E2" s="41">
        <v>9.4</v>
      </c>
      <c r="F2" s="2"/>
      <c r="G2" s="14">
        <v>0.21458333333333335</v>
      </c>
      <c r="H2" s="159">
        <v>130</v>
      </c>
      <c r="I2" s="147">
        <v>133</v>
      </c>
      <c r="J2" s="171">
        <v>3.366898148148148E-2</v>
      </c>
      <c r="O2" s="159"/>
      <c r="P2" s="147"/>
      <c r="Q2" s="11"/>
      <c r="R2" s="44"/>
      <c r="S2" s="26"/>
      <c r="X2" s="159"/>
      <c r="Y2" s="147"/>
      <c r="Z2" s="4"/>
      <c r="AD2" s="159"/>
      <c r="AE2" s="147"/>
      <c r="AF2" s="4"/>
      <c r="AG2" s="13">
        <f t="shared" ref="AG2:AG33" si="0">E2+L2+U2+AA2+R2</f>
        <v>9.4</v>
      </c>
      <c r="AH2" s="87">
        <f t="shared" ref="AH2:AH33" si="1">D2+K2+U2+AA2+R2</f>
        <v>9</v>
      </c>
      <c r="AI2" s="27">
        <f t="shared" ref="AI2:AI80" si="2">AG2-AH2</f>
        <v>0.40000000000000036</v>
      </c>
      <c r="AJ2" s="14">
        <f t="shared" ref="AJ2:AJ33" si="3">J2+Q2+Z2+AF2+S2</f>
        <v>3.366898148148148E-2</v>
      </c>
      <c r="AK2" s="32"/>
      <c r="AL2"/>
      <c r="AM2" s="3">
        <v>77.099999999999994</v>
      </c>
      <c r="AO2">
        <v>85</v>
      </c>
      <c r="AQ2">
        <v>91</v>
      </c>
      <c r="AS2">
        <v>97</v>
      </c>
      <c r="AU2">
        <v>56</v>
      </c>
      <c r="AW2">
        <v>56</v>
      </c>
      <c r="AY2">
        <v>39</v>
      </c>
      <c r="BA2">
        <v>39</v>
      </c>
      <c r="BC2">
        <v>27</v>
      </c>
      <c r="BE2">
        <v>27</v>
      </c>
      <c r="BF2" s="39"/>
    </row>
    <row r="3" spans="1:58" x14ac:dyDescent="0.25">
      <c r="B3" s="1" t="s">
        <v>24</v>
      </c>
      <c r="C3" s="81">
        <v>41667</v>
      </c>
      <c r="D3" s="3">
        <v>10</v>
      </c>
      <c r="E3" s="41">
        <v>11.81</v>
      </c>
      <c r="F3" s="2">
        <v>0.20694444444444446</v>
      </c>
      <c r="G3" s="14">
        <v>0.20625000000000002</v>
      </c>
      <c r="H3" s="159">
        <v>144</v>
      </c>
      <c r="I3" s="147">
        <v>141</v>
      </c>
      <c r="J3" s="171">
        <v>4.0532407407407406E-2</v>
      </c>
      <c r="O3" s="159"/>
      <c r="P3" s="147"/>
      <c r="Q3" s="11"/>
      <c r="R3" s="44"/>
      <c r="S3" s="26"/>
      <c r="X3" s="159"/>
      <c r="Y3" s="147"/>
      <c r="Z3" s="4"/>
      <c r="AD3" s="159"/>
      <c r="AE3" s="147"/>
      <c r="AF3" s="4"/>
      <c r="AG3" s="13">
        <f t="shared" si="0"/>
        <v>11.81</v>
      </c>
      <c r="AH3" s="87">
        <f t="shared" si="1"/>
        <v>10</v>
      </c>
      <c r="AI3" s="27">
        <f t="shared" si="2"/>
        <v>1.8100000000000005</v>
      </c>
      <c r="AJ3" s="14">
        <f t="shared" si="3"/>
        <v>4.0532407407407406E-2</v>
      </c>
      <c r="AK3" s="32"/>
      <c r="AL3"/>
      <c r="AM3" s="3"/>
      <c r="AU3"/>
      <c r="AY3"/>
      <c r="BA3"/>
      <c r="BC3"/>
      <c r="BF3" s="37"/>
    </row>
    <row r="4" spans="1:58" x14ac:dyDescent="0.25">
      <c r="A4" s="25">
        <v>5</v>
      </c>
      <c r="B4" s="1" t="s">
        <v>26</v>
      </c>
      <c r="C4" s="81">
        <v>41669</v>
      </c>
      <c r="D4" s="3">
        <v>10</v>
      </c>
      <c r="E4" s="41">
        <v>11.08</v>
      </c>
      <c r="F4" s="2">
        <v>0.20694444444444446</v>
      </c>
      <c r="G4" s="14">
        <v>0.19513888888888889</v>
      </c>
      <c r="H4" s="159">
        <v>144</v>
      </c>
      <c r="I4" s="147">
        <v>152</v>
      </c>
      <c r="J4" s="171">
        <v>3.6041666666666666E-2</v>
      </c>
      <c r="M4" s="2"/>
      <c r="N4" s="14"/>
      <c r="O4" s="159"/>
      <c r="P4" s="147"/>
      <c r="Q4" s="26"/>
      <c r="R4" s="44"/>
      <c r="S4" s="26"/>
      <c r="V4" s="2"/>
      <c r="W4" s="14"/>
      <c r="X4" s="159"/>
      <c r="Y4" s="147"/>
      <c r="Z4" s="47"/>
      <c r="AD4" s="159"/>
      <c r="AE4" s="147"/>
      <c r="AF4" s="4"/>
      <c r="AG4" s="13">
        <f t="shared" si="0"/>
        <v>11.08</v>
      </c>
      <c r="AH4" s="87">
        <f t="shared" si="1"/>
        <v>10</v>
      </c>
      <c r="AI4" s="27">
        <f t="shared" si="2"/>
        <v>1.08</v>
      </c>
      <c r="AJ4" s="14">
        <f t="shared" si="3"/>
        <v>3.6041666666666666E-2</v>
      </c>
      <c r="AK4" s="32"/>
      <c r="AL4"/>
      <c r="AM4" s="3"/>
      <c r="AU4"/>
      <c r="AY4"/>
      <c r="BA4"/>
      <c r="BC4"/>
      <c r="BF4" s="37"/>
    </row>
    <row r="5" spans="1:58" x14ac:dyDescent="0.25">
      <c r="A5" s="25"/>
      <c r="B5" s="1" t="s">
        <v>29</v>
      </c>
      <c r="C5" s="81">
        <v>41670</v>
      </c>
      <c r="D5" s="3"/>
      <c r="F5" s="2"/>
      <c r="G5" s="14"/>
      <c r="H5" s="159"/>
      <c r="I5" s="147"/>
      <c r="J5" s="171"/>
      <c r="K5">
        <v>6</v>
      </c>
      <c r="L5" s="13">
        <v>6.63</v>
      </c>
      <c r="M5" s="2"/>
      <c r="N5" s="14">
        <v>0.19444444444444445</v>
      </c>
      <c r="O5" s="159">
        <v>144</v>
      </c>
      <c r="P5" s="147">
        <v>156</v>
      </c>
      <c r="Q5" s="26">
        <v>2.1458333333333333E-2</v>
      </c>
      <c r="R5" s="44">
        <v>0.66</v>
      </c>
      <c r="S5" s="26">
        <v>3.1249999999999997E-3</v>
      </c>
      <c r="T5" s="30" t="s">
        <v>147</v>
      </c>
      <c r="U5" s="41">
        <v>4.5</v>
      </c>
      <c r="V5" s="2">
        <v>0.16388888888888889</v>
      </c>
      <c r="W5" s="14">
        <v>0.15694444444444444</v>
      </c>
      <c r="X5" s="159">
        <v>171</v>
      </c>
      <c r="Y5" s="147">
        <v>166</v>
      </c>
      <c r="Z5" s="47">
        <v>1.1747685185185186E-2</v>
      </c>
      <c r="AD5" s="159"/>
      <c r="AE5" s="147"/>
      <c r="AF5" s="4"/>
      <c r="AG5" s="13">
        <f t="shared" si="0"/>
        <v>11.79</v>
      </c>
      <c r="AH5" s="87">
        <f t="shared" si="1"/>
        <v>11.16</v>
      </c>
      <c r="AI5" s="27">
        <f>AG5-AH5</f>
        <v>0.62999999999999901</v>
      </c>
      <c r="AJ5" s="14">
        <f t="shared" si="3"/>
        <v>3.6331018518518519E-2</v>
      </c>
      <c r="AK5" s="32"/>
      <c r="AL5"/>
      <c r="AM5" s="3"/>
      <c r="AU5"/>
      <c r="AY5"/>
      <c r="BA5"/>
      <c r="BC5"/>
      <c r="BF5" s="37"/>
    </row>
    <row r="6" spans="1:58" x14ac:dyDescent="0.25">
      <c r="A6" s="18"/>
      <c r="B6" s="17" t="s">
        <v>27</v>
      </c>
      <c r="C6" s="85">
        <v>41307</v>
      </c>
      <c r="D6" s="19">
        <v>20</v>
      </c>
      <c r="E6" s="42">
        <v>21</v>
      </c>
      <c r="F6" s="21">
        <v>0.20694444444444446</v>
      </c>
      <c r="G6" s="22">
        <v>0.19791666666666666</v>
      </c>
      <c r="H6" s="160">
        <v>158</v>
      </c>
      <c r="I6" s="156">
        <v>148</v>
      </c>
      <c r="J6" s="172">
        <v>6.9259259259259257E-2</v>
      </c>
      <c r="K6" s="18"/>
      <c r="L6" s="20"/>
      <c r="M6" s="18"/>
      <c r="N6" s="20"/>
      <c r="O6" s="160"/>
      <c r="P6" s="156"/>
      <c r="Q6" s="18"/>
      <c r="R6" s="45"/>
      <c r="S6" s="84"/>
      <c r="T6" s="31"/>
      <c r="U6" s="42"/>
      <c r="V6" s="18"/>
      <c r="W6" s="20"/>
      <c r="X6" s="160"/>
      <c r="Y6" s="156"/>
      <c r="Z6" s="24"/>
      <c r="AA6" s="18"/>
      <c r="AB6" s="18"/>
      <c r="AC6" s="20"/>
      <c r="AD6" s="160"/>
      <c r="AE6" s="156"/>
      <c r="AF6" s="24"/>
      <c r="AG6" s="28">
        <f t="shared" si="0"/>
        <v>21</v>
      </c>
      <c r="AH6" s="88">
        <f t="shared" si="1"/>
        <v>20</v>
      </c>
      <c r="AI6" s="18">
        <f t="shared" si="2"/>
        <v>1</v>
      </c>
      <c r="AJ6" s="58">
        <f t="shared" si="3"/>
        <v>6.9259259259259257E-2</v>
      </c>
      <c r="AK6" s="33">
        <f>SUM(AG2:AG6)</f>
        <v>65.08</v>
      </c>
      <c r="AL6" s="21">
        <f>SUM(AJ2:AJ6)</f>
        <v>0.21583333333333332</v>
      </c>
      <c r="AM6" s="19"/>
      <c r="AN6" s="36"/>
      <c r="AO6" s="18"/>
      <c r="AP6" s="36"/>
      <c r="AQ6" s="18"/>
      <c r="AR6" s="36"/>
      <c r="AS6" s="18"/>
      <c r="AT6" s="36"/>
      <c r="AU6" s="18"/>
      <c r="AV6" s="36"/>
      <c r="AW6" s="18"/>
      <c r="AX6" s="36"/>
      <c r="AY6" s="18"/>
      <c r="AZ6" s="36"/>
      <c r="BA6" s="18"/>
      <c r="BB6" s="36"/>
      <c r="BC6" s="18"/>
      <c r="BD6" s="36"/>
      <c r="BE6" s="18"/>
      <c r="BF6" s="38"/>
    </row>
    <row r="7" spans="1:58" x14ac:dyDescent="0.25">
      <c r="B7" s="1" t="s">
        <v>0</v>
      </c>
      <c r="C7" s="81">
        <v>41673</v>
      </c>
      <c r="D7" s="3">
        <v>10</v>
      </c>
      <c r="E7" s="41">
        <v>10.09</v>
      </c>
      <c r="F7" s="2"/>
      <c r="G7" s="14">
        <v>0.20208333333333331</v>
      </c>
      <c r="H7" s="159">
        <v>130</v>
      </c>
      <c r="I7" s="147">
        <v>141</v>
      </c>
      <c r="J7" s="171">
        <v>3.3981481481481481E-2</v>
      </c>
      <c r="M7" s="2"/>
      <c r="N7" s="14"/>
      <c r="O7" s="159"/>
      <c r="P7" s="147"/>
      <c r="Q7" s="26"/>
      <c r="R7" s="44"/>
      <c r="S7" s="26"/>
      <c r="V7" s="2"/>
      <c r="W7" s="14"/>
      <c r="X7" s="159"/>
      <c r="Y7" s="147"/>
      <c r="Z7" s="15"/>
      <c r="AD7" s="159"/>
      <c r="AE7" s="147"/>
      <c r="AF7" s="4"/>
      <c r="AG7" s="13">
        <f t="shared" si="0"/>
        <v>10.09</v>
      </c>
      <c r="AH7" s="87">
        <f t="shared" si="1"/>
        <v>10</v>
      </c>
      <c r="AI7" s="27">
        <f t="shared" si="2"/>
        <v>8.9999999999999858E-2</v>
      </c>
      <c r="AJ7" s="14">
        <f t="shared" si="3"/>
        <v>3.3981481481481481E-2</v>
      </c>
      <c r="AK7" s="32"/>
      <c r="AL7"/>
      <c r="AM7" s="3">
        <v>76.2</v>
      </c>
      <c r="AN7" s="9">
        <f>$AM$2-AM7</f>
        <v>0.89999999999999147</v>
      </c>
      <c r="AO7">
        <v>84</v>
      </c>
      <c r="AP7" s="9">
        <f>$AO$2-AO7</f>
        <v>1</v>
      </c>
      <c r="AQ7">
        <v>91</v>
      </c>
      <c r="AR7" s="9">
        <f>$AQ$2-AQ7</f>
        <v>0</v>
      </c>
      <c r="AS7">
        <v>97</v>
      </c>
      <c r="AT7" s="9">
        <f>$AS$2-AS7</f>
        <v>0</v>
      </c>
      <c r="AU7">
        <v>56</v>
      </c>
      <c r="AV7" s="9">
        <f>$AU$2-AU7</f>
        <v>0</v>
      </c>
      <c r="AW7">
        <v>56</v>
      </c>
      <c r="AX7" s="9">
        <f>$AW$2-AW7</f>
        <v>0</v>
      </c>
      <c r="AY7">
        <v>39</v>
      </c>
      <c r="AZ7" s="9">
        <f>$AY$2-AY7</f>
        <v>0</v>
      </c>
      <c r="BA7">
        <v>40</v>
      </c>
      <c r="BB7" s="9">
        <f>$BA$2-BA7</f>
        <v>-1</v>
      </c>
      <c r="BC7">
        <v>27</v>
      </c>
      <c r="BD7" s="9">
        <f>$BC$2-BC7</f>
        <v>0</v>
      </c>
      <c r="BE7">
        <v>27</v>
      </c>
      <c r="BF7" s="37">
        <f>$BE$2-BE7</f>
        <v>0</v>
      </c>
    </row>
    <row r="8" spans="1:58" x14ac:dyDescent="0.25">
      <c r="B8" s="1" t="s">
        <v>24</v>
      </c>
      <c r="C8" s="81">
        <v>41674</v>
      </c>
      <c r="D8" s="3">
        <v>10</v>
      </c>
      <c r="E8" s="41">
        <v>10.35</v>
      </c>
      <c r="F8" s="2">
        <v>0.20694444444444446</v>
      </c>
      <c r="G8" s="14">
        <v>0.19999999999999998</v>
      </c>
      <c r="H8" s="159">
        <v>144</v>
      </c>
      <c r="I8" s="147">
        <v>145</v>
      </c>
      <c r="J8" s="171">
        <v>3.4548611111111113E-2</v>
      </c>
      <c r="M8" s="2"/>
      <c r="N8" s="14"/>
      <c r="O8" s="159"/>
      <c r="P8" s="147"/>
      <c r="Q8" s="26"/>
      <c r="R8" s="44"/>
      <c r="S8" s="26"/>
      <c r="V8" s="2"/>
      <c r="W8" s="14"/>
      <c r="X8" s="159"/>
      <c r="Y8" s="147"/>
      <c r="Z8" s="15"/>
      <c r="AD8" s="159"/>
      <c r="AE8" s="147"/>
      <c r="AF8" s="4"/>
      <c r="AG8" s="13">
        <f t="shared" si="0"/>
        <v>10.35</v>
      </c>
      <c r="AH8" s="87">
        <f t="shared" si="1"/>
        <v>10</v>
      </c>
      <c r="AI8" s="27">
        <f t="shared" si="2"/>
        <v>0.34999999999999964</v>
      </c>
      <c r="AJ8" s="14">
        <f t="shared" si="3"/>
        <v>3.4548611111111113E-2</v>
      </c>
      <c r="AK8" s="32"/>
      <c r="AL8"/>
      <c r="AM8" s="3"/>
      <c r="AU8"/>
      <c r="AY8"/>
      <c r="BA8"/>
      <c r="BC8"/>
      <c r="BF8" s="37"/>
    </row>
    <row r="9" spans="1:58" x14ac:dyDescent="0.25">
      <c r="A9" s="6">
        <v>6</v>
      </c>
      <c r="B9" s="1" t="s">
        <v>26</v>
      </c>
      <c r="C9" s="81">
        <v>41676</v>
      </c>
      <c r="D9" s="3">
        <v>10</v>
      </c>
      <c r="E9" s="41">
        <v>10.55</v>
      </c>
      <c r="F9" s="2">
        <v>0.20694444444444446</v>
      </c>
      <c r="G9" s="14">
        <v>0.20138888888888887</v>
      </c>
      <c r="H9" s="159">
        <v>144</v>
      </c>
      <c r="I9" s="147">
        <v>144</v>
      </c>
      <c r="J9" s="171">
        <v>3.5462962962962967E-2</v>
      </c>
      <c r="M9" s="2"/>
      <c r="N9" s="14"/>
      <c r="O9" s="159"/>
      <c r="P9" s="147"/>
      <c r="Q9" s="26"/>
      <c r="R9" s="44"/>
      <c r="S9" s="26"/>
      <c r="V9" s="2"/>
      <c r="W9" s="14"/>
      <c r="X9" s="159"/>
      <c r="Y9" s="147"/>
      <c r="Z9" s="15"/>
      <c r="AD9" s="159"/>
      <c r="AE9" s="147"/>
      <c r="AF9" s="4"/>
      <c r="AG9" s="13">
        <f t="shared" si="0"/>
        <v>10.55</v>
      </c>
      <c r="AH9" s="87">
        <f t="shared" si="1"/>
        <v>10</v>
      </c>
      <c r="AI9" s="27">
        <f t="shared" si="2"/>
        <v>0.55000000000000071</v>
      </c>
      <c r="AJ9" s="14">
        <f t="shared" si="3"/>
        <v>3.5462962962962967E-2</v>
      </c>
      <c r="AK9" s="32"/>
      <c r="AL9"/>
      <c r="AM9" s="3"/>
      <c r="AU9"/>
      <c r="AY9"/>
      <c r="BA9"/>
      <c r="BC9"/>
      <c r="BF9" s="37"/>
    </row>
    <row r="10" spans="1:58" x14ac:dyDescent="0.25">
      <c r="A10" s="6"/>
      <c r="B10" s="1" t="s">
        <v>29</v>
      </c>
      <c r="C10" s="81">
        <v>41677</v>
      </c>
      <c r="D10" s="3"/>
      <c r="F10" s="2"/>
      <c r="G10" s="14"/>
      <c r="H10" s="159"/>
      <c r="I10" s="147"/>
      <c r="J10" s="171"/>
      <c r="K10">
        <v>6</v>
      </c>
      <c r="L10" s="13">
        <v>6.1</v>
      </c>
      <c r="M10" s="2"/>
      <c r="N10" s="14">
        <v>0.19791666666666666</v>
      </c>
      <c r="O10" s="159"/>
      <c r="P10" s="147">
        <v>147</v>
      </c>
      <c r="Q10" s="26">
        <v>2.011574074074074E-2</v>
      </c>
      <c r="R10" s="44"/>
      <c r="S10" s="26"/>
      <c r="V10" s="2"/>
      <c r="W10" s="14"/>
      <c r="X10" s="159"/>
      <c r="Y10" s="147"/>
      <c r="Z10" s="15"/>
      <c r="AA10">
        <v>4</v>
      </c>
      <c r="AB10" s="2">
        <v>0.16388888888888889</v>
      </c>
      <c r="AC10" s="14">
        <v>0.16111111111111112</v>
      </c>
      <c r="AD10" s="159">
        <v>171</v>
      </c>
      <c r="AE10" s="147">
        <v>165</v>
      </c>
      <c r="AF10" s="15">
        <v>1.0752314814814814E-2</v>
      </c>
      <c r="AG10" s="13">
        <f t="shared" si="0"/>
        <v>10.1</v>
      </c>
      <c r="AH10" s="87">
        <f t="shared" si="1"/>
        <v>10</v>
      </c>
      <c r="AI10" s="27">
        <f>AG10-AH10</f>
        <v>9.9999999999999645E-2</v>
      </c>
      <c r="AJ10" s="14">
        <f t="shared" si="3"/>
        <v>3.0868055555555551E-2</v>
      </c>
      <c r="AK10" s="32"/>
      <c r="AL10"/>
      <c r="AM10" s="3"/>
      <c r="AU10"/>
      <c r="AY10"/>
      <c r="BA10"/>
      <c r="BC10"/>
      <c r="BF10" s="37"/>
    </row>
    <row r="11" spans="1:58" x14ac:dyDescent="0.25">
      <c r="A11" s="56"/>
      <c r="B11" s="17" t="s">
        <v>27</v>
      </c>
      <c r="C11" s="85">
        <v>41679</v>
      </c>
      <c r="D11" s="19">
        <v>22</v>
      </c>
      <c r="E11" s="42">
        <v>22.8</v>
      </c>
      <c r="F11" s="21">
        <v>0.20694444444444446</v>
      </c>
      <c r="G11" s="22">
        <v>0.19999999999999998</v>
      </c>
      <c r="H11" s="160">
        <v>158</v>
      </c>
      <c r="I11" s="156">
        <v>144</v>
      </c>
      <c r="J11" s="172">
        <v>7.6030092592592594E-2</v>
      </c>
      <c r="K11" s="18"/>
      <c r="L11" s="20"/>
      <c r="M11" s="21"/>
      <c r="N11" s="20"/>
      <c r="O11" s="160"/>
      <c r="P11" s="156"/>
      <c r="Q11" s="18"/>
      <c r="R11" s="45"/>
      <c r="S11" s="84"/>
      <c r="T11" s="31"/>
      <c r="U11" s="42"/>
      <c r="V11" s="21"/>
      <c r="W11" s="20"/>
      <c r="X11" s="160"/>
      <c r="Y11" s="156"/>
      <c r="Z11" s="24"/>
      <c r="AA11" s="18"/>
      <c r="AB11" s="18"/>
      <c r="AC11" s="20"/>
      <c r="AD11" s="160"/>
      <c r="AE11" s="156"/>
      <c r="AF11" s="24"/>
      <c r="AG11" s="28">
        <f t="shared" si="0"/>
        <v>22.8</v>
      </c>
      <c r="AH11" s="88">
        <f t="shared" si="1"/>
        <v>22</v>
      </c>
      <c r="AI11" s="34">
        <f t="shared" si="2"/>
        <v>0.80000000000000071</v>
      </c>
      <c r="AJ11" s="58">
        <f t="shared" si="3"/>
        <v>7.6030092592592594E-2</v>
      </c>
      <c r="AK11" s="33">
        <f>SUM(AG7:AG11)</f>
        <v>63.89</v>
      </c>
      <c r="AL11" s="21">
        <f>SUM(AJ7:AJ11)</f>
        <v>0.21089120370370373</v>
      </c>
      <c r="AM11" s="19"/>
      <c r="AN11" s="36"/>
      <c r="AO11" s="18"/>
      <c r="AP11" s="36"/>
      <c r="AQ11" s="18"/>
      <c r="AR11" s="36"/>
      <c r="AS11" s="18"/>
      <c r="AT11" s="36"/>
      <c r="AU11" s="18"/>
      <c r="AV11" s="36"/>
      <c r="AW11" s="18"/>
      <c r="AX11" s="36"/>
      <c r="AY11" s="18"/>
      <c r="AZ11" s="36"/>
      <c r="BA11" s="18"/>
      <c r="BB11" s="36"/>
      <c r="BC11" s="18"/>
      <c r="BD11" s="36"/>
      <c r="BE11" s="18"/>
      <c r="BF11" s="38"/>
    </row>
    <row r="12" spans="1:58" x14ac:dyDescent="0.25">
      <c r="B12" s="1" t="s">
        <v>0</v>
      </c>
      <c r="C12" s="81">
        <v>41680</v>
      </c>
      <c r="D12" s="3">
        <v>9</v>
      </c>
      <c r="E12" s="41">
        <v>9.15</v>
      </c>
      <c r="F12" s="2"/>
      <c r="G12" s="14">
        <v>0.19791666666666666</v>
      </c>
      <c r="H12" s="159">
        <v>130</v>
      </c>
      <c r="I12" s="147">
        <v>142</v>
      </c>
      <c r="J12" s="171">
        <v>3.019675925925926E-2</v>
      </c>
      <c r="M12" s="2"/>
      <c r="N12" s="14"/>
      <c r="O12" s="159"/>
      <c r="P12" s="147"/>
      <c r="Q12" s="26"/>
      <c r="R12" s="44"/>
      <c r="S12" s="26"/>
      <c r="V12" s="2"/>
      <c r="W12" s="14"/>
      <c r="X12" s="159"/>
      <c r="Y12" s="147"/>
      <c r="Z12" s="15"/>
      <c r="AD12" s="159"/>
      <c r="AE12" s="147"/>
      <c r="AF12" s="4"/>
      <c r="AG12" s="13">
        <f t="shared" si="0"/>
        <v>9.15</v>
      </c>
      <c r="AH12" s="87">
        <f t="shared" si="1"/>
        <v>9</v>
      </c>
      <c r="AI12" s="27">
        <f t="shared" ref="AI12:AI26" si="4">AG12-AH12</f>
        <v>0.15000000000000036</v>
      </c>
      <c r="AJ12" s="14">
        <f t="shared" si="3"/>
        <v>3.019675925925926E-2</v>
      </c>
      <c r="AK12" s="32"/>
      <c r="AL12"/>
      <c r="AM12" s="3">
        <v>75.400000000000006</v>
      </c>
      <c r="AN12" s="9">
        <f>$AM$2-AM12</f>
        <v>1.6999999999999886</v>
      </c>
      <c r="AO12">
        <v>84</v>
      </c>
      <c r="AP12" s="9">
        <f>$AO$2-AO12</f>
        <v>1</v>
      </c>
      <c r="AQ12">
        <v>91</v>
      </c>
      <c r="AR12" s="9">
        <f>$AQ$2-AQ12</f>
        <v>0</v>
      </c>
      <c r="AS12">
        <v>97</v>
      </c>
      <c r="AT12" s="9">
        <f>$AS$2-AS12</f>
        <v>0</v>
      </c>
      <c r="AU12">
        <v>55</v>
      </c>
      <c r="AV12" s="9">
        <f>$AU$2-AU12</f>
        <v>1</v>
      </c>
      <c r="AW12">
        <v>55</v>
      </c>
      <c r="AX12" s="9">
        <f>$AW$2-AW12</f>
        <v>1</v>
      </c>
      <c r="AY12">
        <v>40</v>
      </c>
      <c r="AZ12" s="9">
        <f>$AY$2-AY12</f>
        <v>-1</v>
      </c>
      <c r="BA12">
        <v>40</v>
      </c>
      <c r="BB12" s="9">
        <f>$BA$2-BA12</f>
        <v>-1</v>
      </c>
      <c r="BC12">
        <v>27</v>
      </c>
      <c r="BD12" s="9">
        <f>$BC$2-BC12</f>
        <v>0</v>
      </c>
      <c r="BE12">
        <v>27</v>
      </c>
      <c r="BF12" s="37">
        <f>$BE$2-BE12</f>
        <v>0</v>
      </c>
    </row>
    <row r="13" spans="1:58" x14ac:dyDescent="0.25">
      <c r="B13" s="1" t="s">
        <v>24</v>
      </c>
      <c r="C13" s="81">
        <v>41681</v>
      </c>
      <c r="D13" s="3">
        <v>10</v>
      </c>
      <c r="E13" s="41">
        <v>10.16</v>
      </c>
      <c r="F13" s="2">
        <v>0.20694444444444446</v>
      </c>
      <c r="G13" s="14">
        <v>0.19583333333333333</v>
      </c>
      <c r="H13" s="159">
        <v>144</v>
      </c>
      <c r="I13" s="147">
        <v>143</v>
      </c>
      <c r="J13" s="171">
        <v>3.3090277777777781E-2</v>
      </c>
      <c r="M13" s="2"/>
      <c r="N13" s="14"/>
      <c r="O13" s="159"/>
      <c r="P13" s="147"/>
      <c r="Q13" s="26"/>
      <c r="R13" s="44"/>
      <c r="S13" s="26"/>
      <c r="V13" s="2"/>
      <c r="W13" s="14"/>
      <c r="X13" s="159"/>
      <c r="Y13" s="147"/>
      <c r="Z13" s="15"/>
      <c r="AD13" s="159"/>
      <c r="AE13" s="147"/>
      <c r="AF13" s="4"/>
      <c r="AG13" s="13">
        <f t="shared" si="0"/>
        <v>10.16</v>
      </c>
      <c r="AH13" s="87">
        <f t="shared" si="1"/>
        <v>10</v>
      </c>
      <c r="AI13" s="27">
        <f t="shared" si="4"/>
        <v>0.16000000000000014</v>
      </c>
      <c r="AJ13" s="14">
        <f t="shared" si="3"/>
        <v>3.3090277777777781E-2</v>
      </c>
      <c r="AK13" s="32"/>
      <c r="AL13"/>
      <c r="AM13" s="3"/>
      <c r="AU13"/>
      <c r="AY13"/>
      <c r="BA13"/>
      <c r="BC13"/>
      <c r="BF13" s="37"/>
    </row>
    <row r="14" spans="1:58" x14ac:dyDescent="0.25">
      <c r="A14" s="6">
        <v>7</v>
      </c>
      <c r="B14" s="1" t="s">
        <v>26</v>
      </c>
      <c r="C14" s="81">
        <v>41683</v>
      </c>
      <c r="D14" s="3">
        <v>12</v>
      </c>
      <c r="E14" s="41">
        <v>16.100000000000001</v>
      </c>
      <c r="F14" s="2">
        <v>0.20694444444444446</v>
      </c>
      <c r="G14" s="14">
        <v>0.1875</v>
      </c>
      <c r="H14" s="159">
        <v>144</v>
      </c>
      <c r="I14" s="147">
        <v>150</v>
      </c>
      <c r="J14" s="171">
        <v>5.0300925925925923E-2</v>
      </c>
      <c r="M14" s="2"/>
      <c r="N14" s="14"/>
      <c r="O14" s="159"/>
      <c r="P14" s="147"/>
      <c r="Q14" s="26"/>
      <c r="R14" s="44"/>
      <c r="S14" s="26"/>
      <c r="V14" s="2"/>
      <c r="W14" s="14"/>
      <c r="X14" s="159"/>
      <c r="Y14" s="147"/>
      <c r="Z14" s="15"/>
      <c r="AD14" s="159"/>
      <c r="AE14" s="147"/>
      <c r="AF14" s="4"/>
      <c r="AG14" s="13">
        <f t="shared" si="0"/>
        <v>16.100000000000001</v>
      </c>
      <c r="AH14" s="87">
        <f t="shared" si="1"/>
        <v>12</v>
      </c>
      <c r="AI14" s="27">
        <f t="shared" si="4"/>
        <v>4.1000000000000014</v>
      </c>
      <c r="AJ14" s="14">
        <f t="shared" si="3"/>
        <v>5.0300925925925923E-2</v>
      </c>
      <c r="AK14" s="32"/>
      <c r="AL14"/>
      <c r="AM14" s="3"/>
      <c r="AU14"/>
      <c r="AY14"/>
      <c r="BA14"/>
      <c r="BC14"/>
      <c r="BF14" s="37"/>
    </row>
    <row r="15" spans="1:58" x14ac:dyDescent="0.25">
      <c r="A15" s="6"/>
      <c r="B15" s="1" t="s">
        <v>29</v>
      </c>
      <c r="C15" s="81">
        <v>41684</v>
      </c>
      <c r="D15" s="3"/>
      <c r="F15" s="2"/>
      <c r="G15" s="14"/>
      <c r="H15" s="159"/>
      <c r="I15" s="147"/>
      <c r="J15" s="171"/>
      <c r="K15">
        <v>6</v>
      </c>
      <c r="L15" s="13">
        <v>6.35</v>
      </c>
      <c r="M15" s="2"/>
      <c r="N15" s="14">
        <v>0.19722222222222222</v>
      </c>
      <c r="O15" s="159">
        <v>144</v>
      </c>
      <c r="P15" s="147">
        <v>150</v>
      </c>
      <c r="Q15" s="26">
        <v>2.0879629629629626E-2</v>
      </c>
      <c r="R15" s="44">
        <v>0.68</v>
      </c>
      <c r="S15" s="26">
        <v>3.1249999999999997E-3</v>
      </c>
      <c r="T15" s="30" t="s">
        <v>150</v>
      </c>
      <c r="U15" s="41">
        <v>6</v>
      </c>
      <c r="V15" s="2">
        <v>0.16388888888888889</v>
      </c>
      <c r="W15" s="14">
        <v>0.15972222222222224</v>
      </c>
      <c r="X15" s="159">
        <v>171</v>
      </c>
      <c r="Y15" s="147">
        <v>161</v>
      </c>
      <c r="Z15" s="15">
        <v>1.5949074074074074E-2</v>
      </c>
      <c r="AD15" s="159"/>
      <c r="AE15" s="147"/>
      <c r="AF15" s="4"/>
      <c r="AG15" s="13">
        <f t="shared" si="0"/>
        <v>13.03</v>
      </c>
      <c r="AH15" s="87">
        <f t="shared" si="1"/>
        <v>12.68</v>
      </c>
      <c r="AI15" s="27">
        <f t="shared" si="4"/>
        <v>0.34999999999999964</v>
      </c>
      <c r="AJ15" s="14">
        <f t="shared" si="3"/>
        <v>3.99537037037037E-2</v>
      </c>
      <c r="AK15" s="32"/>
      <c r="AL15"/>
      <c r="AM15" s="3"/>
      <c r="AU15"/>
      <c r="AY15"/>
      <c r="BA15"/>
      <c r="BC15"/>
      <c r="BF15" s="37"/>
    </row>
    <row r="16" spans="1:58" x14ac:dyDescent="0.25">
      <c r="A16" s="56"/>
      <c r="B16" s="17" t="s">
        <v>27</v>
      </c>
      <c r="C16" s="85">
        <v>41686</v>
      </c>
      <c r="D16" s="19">
        <v>24</v>
      </c>
      <c r="E16" s="42">
        <v>20.78</v>
      </c>
      <c r="F16" s="21">
        <v>0.20694444444444446</v>
      </c>
      <c r="G16" s="22">
        <v>0.2076388888888889</v>
      </c>
      <c r="H16" s="160">
        <v>158</v>
      </c>
      <c r="I16" s="156">
        <v>148</v>
      </c>
      <c r="J16" s="172">
        <v>7.1944444444444436E-2</v>
      </c>
      <c r="K16" s="18"/>
      <c r="L16" s="20"/>
      <c r="M16" s="18"/>
      <c r="N16" s="20"/>
      <c r="O16" s="160"/>
      <c r="P16" s="156"/>
      <c r="Q16" s="18"/>
      <c r="R16" s="45"/>
      <c r="S16" s="84"/>
      <c r="T16" s="31"/>
      <c r="U16" s="42"/>
      <c r="V16" s="18"/>
      <c r="W16" s="20"/>
      <c r="X16" s="160"/>
      <c r="Y16" s="156"/>
      <c r="Z16" s="24"/>
      <c r="AA16" s="18"/>
      <c r="AB16" s="18"/>
      <c r="AC16" s="20"/>
      <c r="AD16" s="160"/>
      <c r="AE16" s="156"/>
      <c r="AF16" s="24"/>
      <c r="AG16" s="28">
        <f t="shared" si="0"/>
        <v>20.78</v>
      </c>
      <c r="AH16" s="88">
        <f t="shared" si="1"/>
        <v>24</v>
      </c>
      <c r="AI16" s="34">
        <f t="shared" si="4"/>
        <v>-3.2199999999999989</v>
      </c>
      <c r="AJ16" s="58">
        <f t="shared" si="3"/>
        <v>7.1944444444444436E-2</v>
      </c>
      <c r="AK16" s="33">
        <f>SUM(AG12:AG16)</f>
        <v>69.22</v>
      </c>
      <c r="AL16" s="21">
        <f>SUM(AJ12:AJ16)</f>
        <v>0.22548611111111111</v>
      </c>
      <c r="AM16" s="19"/>
      <c r="AN16" s="36"/>
      <c r="AO16" s="18"/>
      <c r="AP16" s="36"/>
      <c r="AQ16" s="18"/>
      <c r="AR16" s="36"/>
      <c r="AS16" s="18"/>
      <c r="AT16" s="36"/>
      <c r="AU16" s="18"/>
      <c r="AV16" s="36"/>
      <c r="AW16" s="18"/>
      <c r="AX16" s="36"/>
      <c r="AY16" s="18"/>
      <c r="AZ16" s="36"/>
      <c r="BA16" s="18"/>
      <c r="BB16" s="36"/>
      <c r="BC16" s="18"/>
      <c r="BD16" s="36"/>
      <c r="BE16" s="18"/>
      <c r="BF16" s="38"/>
    </row>
    <row r="17" spans="1:58" x14ac:dyDescent="0.25">
      <c r="B17" s="1" t="s">
        <v>0</v>
      </c>
      <c r="C17" s="81">
        <v>41687</v>
      </c>
      <c r="D17" s="3">
        <v>6</v>
      </c>
      <c r="E17" s="41">
        <v>6.01</v>
      </c>
      <c r="F17" s="2"/>
      <c r="G17" s="14">
        <v>0.20277777777777781</v>
      </c>
      <c r="H17" s="159">
        <v>130</v>
      </c>
      <c r="I17" s="147">
        <v>146</v>
      </c>
      <c r="J17" s="171">
        <v>2.0324074074074074E-2</v>
      </c>
      <c r="M17" s="2"/>
      <c r="N17" s="14"/>
      <c r="O17" s="159"/>
      <c r="P17" s="147"/>
      <c r="Q17" s="26"/>
      <c r="R17" s="44"/>
      <c r="S17" s="26"/>
      <c r="V17" s="2"/>
      <c r="W17" s="14"/>
      <c r="X17" s="159"/>
      <c r="Y17" s="147"/>
      <c r="Z17" s="15"/>
      <c r="AD17" s="159"/>
      <c r="AE17" s="147"/>
      <c r="AF17" s="4"/>
      <c r="AG17" s="13">
        <f t="shared" si="0"/>
        <v>6.01</v>
      </c>
      <c r="AH17" s="87">
        <f t="shared" si="1"/>
        <v>6</v>
      </c>
      <c r="AI17" s="27">
        <f t="shared" si="4"/>
        <v>9.9999999999997868E-3</v>
      </c>
      <c r="AJ17" s="14">
        <f t="shared" si="3"/>
        <v>2.0324074074074074E-2</v>
      </c>
      <c r="AK17" s="32"/>
      <c r="AL17"/>
      <c r="AM17" s="3">
        <v>76.400000000000006</v>
      </c>
      <c r="AN17" s="9">
        <f>$AM$2-AM17</f>
        <v>0.69999999999998863</v>
      </c>
      <c r="AO17">
        <v>86</v>
      </c>
      <c r="AP17" s="9">
        <f>$AO$2-AO17</f>
        <v>-1</v>
      </c>
      <c r="AQ17">
        <v>94</v>
      </c>
      <c r="AR17" s="9">
        <f>$AQ$2-AQ17</f>
        <v>-3</v>
      </c>
      <c r="AS17">
        <v>98</v>
      </c>
      <c r="AT17" s="9">
        <f>$AS$2-AS17</f>
        <v>-1</v>
      </c>
      <c r="AU17">
        <v>57</v>
      </c>
      <c r="AV17" s="9">
        <f>$AU$2-AU17</f>
        <v>-1</v>
      </c>
      <c r="AW17">
        <v>58</v>
      </c>
      <c r="AX17" s="9">
        <f>$AW$2-AW17</f>
        <v>-2</v>
      </c>
      <c r="AY17">
        <v>42</v>
      </c>
      <c r="AZ17" s="9">
        <f>$AY$2-AY17</f>
        <v>-3</v>
      </c>
      <c r="BA17">
        <v>40</v>
      </c>
      <c r="BB17" s="9">
        <f>$BA$2-BA17</f>
        <v>-1</v>
      </c>
      <c r="BC17">
        <v>27</v>
      </c>
      <c r="BD17" s="9">
        <f>$BC$2-BC17</f>
        <v>0</v>
      </c>
      <c r="BE17">
        <v>27</v>
      </c>
      <c r="BF17" s="37">
        <f>$BE$2-BE17</f>
        <v>0</v>
      </c>
    </row>
    <row r="18" spans="1:58" x14ac:dyDescent="0.25">
      <c r="B18" s="1" t="s">
        <v>24</v>
      </c>
      <c r="C18" s="81">
        <v>41688</v>
      </c>
      <c r="D18" s="3">
        <v>8</v>
      </c>
      <c r="E18" s="41">
        <v>11.35</v>
      </c>
      <c r="F18" s="2">
        <v>0.20694444444444446</v>
      </c>
      <c r="G18" s="14">
        <v>0.21527777777777779</v>
      </c>
      <c r="H18" s="159">
        <v>144</v>
      </c>
      <c r="I18" s="147">
        <v>131</v>
      </c>
      <c r="J18" s="171">
        <v>4.0752314814814811E-2</v>
      </c>
      <c r="M18" s="2"/>
      <c r="N18" s="14"/>
      <c r="O18" s="159"/>
      <c r="P18" s="147"/>
      <c r="Q18" s="26"/>
      <c r="R18" s="44"/>
      <c r="S18" s="26"/>
      <c r="V18" s="2"/>
      <c r="W18" s="14"/>
      <c r="X18" s="159"/>
      <c r="Y18" s="147"/>
      <c r="Z18" s="15"/>
      <c r="AD18" s="159"/>
      <c r="AE18" s="147"/>
      <c r="AF18" s="4"/>
      <c r="AG18" s="13">
        <f t="shared" si="0"/>
        <v>11.35</v>
      </c>
      <c r="AH18" s="87">
        <f t="shared" si="1"/>
        <v>8</v>
      </c>
      <c r="AI18" s="27">
        <f t="shared" si="4"/>
        <v>3.3499999999999996</v>
      </c>
      <c r="AJ18" s="14">
        <f t="shared" si="3"/>
        <v>4.0752314814814811E-2</v>
      </c>
      <c r="AK18" s="32"/>
      <c r="AL18"/>
      <c r="AM18" s="3"/>
      <c r="AU18"/>
      <c r="AY18"/>
      <c r="BA18"/>
      <c r="BC18"/>
      <c r="BF18" s="37"/>
    </row>
    <row r="19" spans="1:58" x14ac:dyDescent="0.25">
      <c r="A19" s="6">
        <v>8</v>
      </c>
      <c r="B19" s="1" t="s">
        <v>15</v>
      </c>
      <c r="C19" s="81">
        <v>41689</v>
      </c>
      <c r="D19" s="3">
        <v>8</v>
      </c>
      <c r="E19" s="41">
        <v>10.199999999999999</v>
      </c>
      <c r="F19" s="2">
        <v>0.20694444444444446</v>
      </c>
      <c r="G19" s="14">
        <v>0.18541666666666667</v>
      </c>
      <c r="H19" s="159">
        <v>144</v>
      </c>
      <c r="I19" s="147">
        <v>144</v>
      </c>
      <c r="J19" s="171">
        <v>3.1504629629629625E-2</v>
      </c>
      <c r="M19" s="2"/>
      <c r="N19" s="14"/>
      <c r="O19" s="159"/>
      <c r="P19" s="147"/>
      <c r="Q19" s="26"/>
      <c r="R19" s="44"/>
      <c r="S19" s="26"/>
      <c r="V19" s="2"/>
      <c r="W19" s="14"/>
      <c r="X19" s="159"/>
      <c r="Y19" s="147"/>
      <c r="Z19" s="15"/>
      <c r="AD19" s="159"/>
      <c r="AE19" s="147"/>
      <c r="AF19" s="4"/>
      <c r="AG19" s="13">
        <f t="shared" si="0"/>
        <v>10.199999999999999</v>
      </c>
      <c r="AH19" s="87">
        <f t="shared" si="1"/>
        <v>8</v>
      </c>
      <c r="AI19" s="27">
        <f t="shared" si="4"/>
        <v>2.1999999999999993</v>
      </c>
      <c r="AJ19" s="14">
        <f t="shared" si="3"/>
        <v>3.1504629629629625E-2</v>
      </c>
      <c r="AK19" s="32"/>
      <c r="AL19"/>
      <c r="AM19" s="3"/>
      <c r="AU19"/>
      <c r="AY19"/>
      <c r="BA19"/>
      <c r="BC19"/>
      <c r="BF19" s="37"/>
    </row>
    <row r="20" spans="1:58" x14ac:dyDescent="0.25">
      <c r="A20" s="6"/>
      <c r="B20" s="1" t="s">
        <v>29</v>
      </c>
      <c r="C20" s="81">
        <v>41691</v>
      </c>
      <c r="D20" s="3">
        <v>10</v>
      </c>
      <c r="E20" s="41">
        <v>7.03</v>
      </c>
      <c r="F20" s="2">
        <v>0.20694444444444446</v>
      </c>
      <c r="G20" s="14">
        <v>0.19583333333333333</v>
      </c>
      <c r="H20" s="159">
        <v>144</v>
      </c>
      <c r="I20" s="147">
        <v>147</v>
      </c>
      <c r="J20" s="171">
        <v>2.2951388888888886E-2</v>
      </c>
      <c r="M20" s="2"/>
      <c r="N20" s="14"/>
      <c r="O20" s="159"/>
      <c r="P20" s="147"/>
      <c r="Q20" s="26"/>
      <c r="R20" s="44"/>
      <c r="S20" s="26"/>
      <c r="V20" s="2"/>
      <c r="W20" s="14"/>
      <c r="X20" s="159"/>
      <c r="Y20" s="147"/>
      <c r="Z20" s="15"/>
      <c r="AD20" s="159"/>
      <c r="AE20" s="147"/>
      <c r="AF20" s="4"/>
      <c r="AG20" s="13">
        <f t="shared" si="0"/>
        <v>7.03</v>
      </c>
      <c r="AH20" s="87">
        <f t="shared" si="1"/>
        <v>10</v>
      </c>
      <c r="AI20" s="27">
        <f t="shared" si="4"/>
        <v>-2.9699999999999998</v>
      </c>
      <c r="AJ20" s="14">
        <f t="shared" si="3"/>
        <v>2.2951388888888886E-2</v>
      </c>
      <c r="AK20" s="32"/>
      <c r="AL20"/>
      <c r="AM20" s="3"/>
      <c r="AU20"/>
      <c r="AY20"/>
      <c r="BA20"/>
      <c r="BC20"/>
      <c r="BF20" s="37"/>
    </row>
    <row r="21" spans="1:58" x14ac:dyDescent="0.25">
      <c r="A21" s="56"/>
      <c r="B21" s="17" t="s">
        <v>18</v>
      </c>
      <c r="C21" s="85">
        <v>41692</v>
      </c>
      <c r="D21" s="19">
        <v>18</v>
      </c>
      <c r="E21" s="42">
        <v>42.37</v>
      </c>
      <c r="F21" s="21">
        <v>0.20694444444444446</v>
      </c>
      <c r="G21" s="22">
        <v>0.18680555555555556</v>
      </c>
      <c r="H21" s="160">
        <v>158</v>
      </c>
      <c r="I21" s="156">
        <v>155</v>
      </c>
      <c r="J21" s="172">
        <v>0.13196759259259258</v>
      </c>
      <c r="K21" s="18"/>
      <c r="L21" s="20"/>
      <c r="M21" s="18"/>
      <c r="N21" s="20"/>
      <c r="O21" s="160"/>
      <c r="P21" s="156"/>
      <c r="Q21" s="18"/>
      <c r="R21" s="45"/>
      <c r="S21" s="84"/>
      <c r="T21" s="31"/>
      <c r="U21" s="42"/>
      <c r="V21" s="18"/>
      <c r="W21" s="20"/>
      <c r="X21" s="160"/>
      <c r="Y21" s="156"/>
      <c r="Z21" s="24"/>
      <c r="AA21" s="18"/>
      <c r="AB21" s="18"/>
      <c r="AC21" s="20"/>
      <c r="AD21" s="160"/>
      <c r="AE21" s="156"/>
      <c r="AF21" s="24"/>
      <c r="AG21" s="28">
        <f t="shared" si="0"/>
        <v>42.37</v>
      </c>
      <c r="AH21" s="88">
        <f t="shared" si="1"/>
        <v>18</v>
      </c>
      <c r="AI21" s="34">
        <f t="shared" si="4"/>
        <v>24.369999999999997</v>
      </c>
      <c r="AJ21" s="58">
        <f t="shared" si="3"/>
        <v>0.13196759259259258</v>
      </c>
      <c r="AK21" s="33">
        <f>SUM(AG17:AG21)</f>
        <v>76.959999999999994</v>
      </c>
      <c r="AL21" s="21">
        <f>SUM(AJ17:AJ21)</f>
        <v>0.2475</v>
      </c>
      <c r="AM21" s="19"/>
      <c r="AN21" s="36"/>
      <c r="AO21" s="18"/>
      <c r="AP21" s="36"/>
      <c r="AQ21" s="18"/>
      <c r="AR21" s="36"/>
      <c r="AS21" s="18"/>
      <c r="AT21" s="36"/>
      <c r="AU21" s="18"/>
      <c r="AV21" s="36"/>
      <c r="AW21" s="18"/>
      <c r="AX21" s="36"/>
      <c r="AY21" s="18"/>
      <c r="AZ21" s="36"/>
      <c r="BA21" s="18"/>
      <c r="BB21" s="36"/>
      <c r="BC21" s="18"/>
      <c r="BD21" s="36"/>
      <c r="BE21" s="18"/>
      <c r="BF21" s="38"/>
    </row>
    <row r="22" spans="1:58" x14ac:dyDescent="0.25">
      <c r="B22" s="1" t="s">
        <v>0</v>
      </c>
      <c r="C22" s="81">
        <v>41694</v>
      </c>
      <c r="D22" s="3">
        <v>8</v>
      </c>
      <c r="E22" s="41">
        <v>8.35</v>
      </c>
      <c r="F22" s="2"/>
      <c r="G22" s="14">
        <v>0.20069444444444443</v>
      </c>
      <c r="H22" s="159">
        <v>130</v>
      </c>
      <c r="I22" s="147">
        <v>147</v>
      </c>
      <c r="J22" s="171">
        <v>2.7905092592592592E-2</v>
      </c>
      <c r="M22" s="2"/>
      <c r="N22" s="14"/>
      <c r="O22" s="159"/>
      <c r="P22" s="147"/>
      <c r="Q22" s="26"/>
      <c r="R22" s="44"/>
      <c r="S22" s="26"/>
      <c r="V22" s="2"/>
      <c r="W22" s="14"/>
      <c r="X22" s="159"/>
      <c r="Y22" s="147"/>
      <c r="Z22" s="15"/>
      <c r="AD22" s="159"/>
      <c r="AE22" s="147"/>
      <c r="AF22" s="4"/>
      <c r="AG22" s="13">
        <f t="shared" si="0"/>
        <v>8.35</v>
      </c>
      <c r="AH22" s="87">
        <f t="shared" si="1"/>
        <v>8</v>
      </c>
      <c r="AI22" s="27">
        <f t="shared" si="4"/>
        <v>0.34999999999999964</v>
      </c>
      <c r="AJ22" s="14">
        <f t="shared" si="3"/>
        <v>2.7905092592592592E-2</v>
      </c>
      <c r="AK22" s="32"/>
      <c r="AL22"/>
      <c r="AM22" s="3">
        <v>76</v>
      </c>
      <c r="AN22" s="9">
        <f>$AM$2-AM22</f>
        <v>1.0999999999999943</v>
      </c>
      <c r="AO22">
        <v>86</v>
      </c>
      <c r="AP22" s="9">
        <f>$AO$2-AO22</f>
        <v>-1</v>
      </c>
      <c r="AQ22">
        <v>93</v>
      </c>
      <c r="AR22" s="9">
        <f>$AQ$2-AQ22</f>
        <v>-2</v>
      </c>
      <c r="AS22">
        <v>96</v>
      </c>
      <c r="AT22" s="9">
        <f>$AS$2-AS22</f>
        <v>1</v>
      </c>
      <c r="AU22">
        <v>57</v>
      </c>
      <c r="AV22" s="9">
        <f>$AU$2-AU22</f>
        <v>-1</v>
      </c>
      <c r="AW22">
        <v>56</v>
      </c>
      <c r="AX22" s="9">
        <f>$AW$2-AW22</f>
        <v>0</v>
      </c>
      <c r="AY22">
        <v>40</v>
      </c>
      <c r="AZ22" s="9">
        <f>$AY$2-AY22</f>
        <v>-1</v>
      </c>
      <c r="BA22">
        <v>40</v>
      </c>
      <c r="BB22" s="9">
        <f>$BA$2-BA22</f>
        <v>-1</v>
      </c>
      <c r="BC22">
        <v>27</v>
      </c>
      <c r="BD22" s="9">
        <f>$BC$2-BC22</f>
        <v>0</v>
      </c>
      <c r="BE22">
        <v>27</v>
      </c>
      <c r="BF22" s="37">
        <f>$BE$2-BE22</f>
        <v>0</v>
      </c>
    </row>
    <row r="23" spans="1:58" x14ac:dyDescent="0.25">
      <c r="B23" s="1" t="s">
        <v>24</v>
      </c>
      <c r="C23" s="81">
        <v>41695</v>
      </c>
      <c r="D23" s="3"/>
      <c r="F23" s="2"/>
      <c r="G23" s="14"/>
      <c r="H23" s="159"/>
      <c r="I23" s="147"/>
      <c r="J23" s="171"/>
      <c r="K23">
        <v>6</v>
      </c>
      <c r="L23" s="13">
        <v>5.96</v>
      </c>
      <c r="M23" s="2"/>
      <c r="N23" s="14">
        <v>0.2076388888888889</v>
      </c>
      <c r="O23" s="159">
        <v>144</v>
      </c>
      <c r="P23" s="147">
        <v>141</v>
      </c>
      <c r="Q23" s="26">
        <v>2.0671296296296295E-2</v>
      </c>
      <c r="R23" s="44">
        <v>2.08</v>
      </c>
      <c r="S23" s="26">
        <v>9.8379629629629633E-3</v>
      </c>
      <c r="T23" s="30" t="s">
        <v>43</v>
      </c>
      <c r="U23" s="41">
        <v>5</v>
      </c>
      <c r="V23" s="2">
        <v>0.15208333333333332</v>
      </c>
      <c r="W23" s="14">
        <v>0.15069444444444444</v>
      </c>
      <c r="X23" s="159">
        <v>185</v>
      </c>
      <c r="Y23" s="147">
        <v>177</v>
      </c>
      <c r="Z23" s="15">
        <v>1.2581018518518519E-2</v>
      </c>
      <c r="AD23" s="159"/>
      <c r="AE23" s="147"/>
      <c r="AF23" s="4"/>
      <c r="AG23" s="13">
        <f t="shared" si="0"/>
        <v>13.040000000000001</v>
      </c>
      <c r="AH23" s="87">
        <f t="shared" si="1"/>
        <v>13.08</v>
      </c>
      <c r="AI23" s="27">
        <f t="shared" si="4"/>
        <v>-3.9999999999999147E-2</v>
      </c>
      <c r="AJ23" s="14">
        <f t="shared" si="3"/>
        <v>4.3090277777777783E-2</v>
      </c>
      <c r="AK23" s="32"/>
      <c r="AL23"/>
      <c r="AM23" s="3"/>
      <c r="AU23"/>
      <c r="AY23"/>
      <c r="BA23"/>
      <c r="BC23"/>
      <c r="BF23" s="37"/>
    </row>
    <row r="24" spans="1:58" x14ac:dyDescent="0.25">
      <c r="A24" s="6">
        <v>9</v>
      </c>
      <c r="B24" s="1" t="s">
        <v>29</v>
      </c>
      <c r="C24" s="81">
        <v>41698</v>
      </c>
      <c r="D24" s="3">
        <v>10</v>
      </c>
      <c r="E24" s="41">
        <v>5.7</v>
      </c>
      <c r="F24" s="2">
        <v>0.20694444444444446</v>
      </c>
      <c r="G24" s="14">
        <v>0.19930555555555554</v>
      </c>
      <c r="H24" s="159">
        <v>144</v>
      </c>
      <c r="I24" s="147">
        <v>149</v>
      </c>
      <c r="J24" s="171">
        <v>1.8958333333333334E-2</v>
      </c>
      <c r="M24" s="2"/>
      <c r="N24" s="14"/>
      <c r="O24" s="159"/>
      <c r="P24" s="147"/>
      <c r="Q24" s="26"/>
      <c r="R24" s="44"/>
      <c r="S24" s="26"/>
      <c r="V24" s="2"/>
      <c r="W24" s="14"/>
      <c r="X24" s="159"/>
      <c r="Y24" s="147"/>
      <c r="Z24" s="15"/>
      <c r="AD24" s="159"/>
      <c r="AE24" s="147"/>
      <c r="AF24" s="4"/>
      <c r="AG24" s="13">
        <f t="shared" si="0"/>
        <v>5.7</v>
      </c>
      <c r="AH24" s="87">
        <f t="shared" si="1"/>
        <v>10</v>
      </c>
      <c r="AI24" s="27">
        <f t="shared" si="4"/>
        <v>-4.3</v>
      </c>
      <c r="AJ24" s="14">
        <f t="shared" si="3"/>
        <v>1.8958333333333334E-2</v>
      </c>
      <c r="AK24" s="32"/>
      <c r="AL24"/>
      <c r="AM24" s="3"/>
      <c r="AU24"/>
      <c r="AY24"/>
      <c r="BA24"/>
      <c r="BC24"/>
      <c r="BF24" s="37"/>
    </row>
    <row r="25" spans="1:58" x14ac:dyDescent="0.25">
      <c r="A25" s="6"/>
      <c r="B25" s="1" t="s">
        <v>15</v>
      </c>
      <c r="C25" s="81">
        <v>41696</v>
      </c>
      <c r="D25" s="3">
        <v>14</v>
      </c>
      <c r="E25" s="41">
        <v>16.010000000000002</v>
      </c>
      <c r="F25" s="2">
        <v>0.20694444444444446</v>
      </c>
      <c r="G25" s="14">
        <v>0.19166666666666665</v>
      </c>
      <c r="H25" s="159">
        <v>144</v>
      </c>
      <c r="I25" s="147">
        <v>149</v>
      </c>
      <c r="J25" s="171">
        <v>5.1087962962962967E-2</v>
      </c>
      <c r="M25" s="2"/>
      <c r="N25" s="14"/>
      <c r="O25" s="159"/>
      <c r="P25" s="147"/>
      <c r="Q25" s="26"/>
      <c r="R25" s="44"/>
      <c r="S25" s="26"/>
      <c r="V25" s="2"/>
      <c r="W25" s="14"/>
      <c r="X25" s="159"/>
      <c r="Y25" s="147"/>
      <c r="Z25" s="15"/>
      <c r="AD25" s="159"/>
      <c r="AE25" s="147"/>
      <c r="AF25" s="4"/>
      <c r="AG25" s="13">
        <f t="shared" si="0"/>
        <v>16.010000000000002</v>
      </c>
      <c r="AH25" s="87">
        <f t="shared" si="1"/>
        <v>14</v>
      </c>
      <c r="AI25" s="27">
        <f t="shared" si="4"/>
        <v>2.0100000000000016</v>
      </c>
      <c r="AJ25" s="14">
        <f t="shared" si="3"/>
        <v>5.1087962962962967E-2</v>
      </c>
      <c r="AK25" s="32"/>
      <c r="AL25"/>
      <c r="AM25" s="3"/>
      <c r="AU25"/>
      <c r="AY25"/>
      <c r="BA25"/>
      <c r="BC25"/>
      <c r="BF25" s="37"/>
    </row>
    <row r="26" spans="1:58" x14ac:dyDescent="0.25">
      <c r="A26" s="56"/>
      <c r="B26" s="17" t="s">
        <v>18</v>
      </c>
      <c r="C26" s="85">
        <v>41699</v>
      </c>
      <c r="D26" s="19">
        <v>26</v>
      </c>
      <c r="E26" s="42">
        <v>42.02</v>
      </c>
      <c r="F26" s="21">
        <v>0.20694444444444446</v>
      </c>
      <c r="G26" s="22">
        <v>0.19236111111111112</v>
      </c>
      <c r="H26" s="160">
        <v>158</v>
      </c>
      <c r="I26" s="156">
        <v>154</v>
      </c>
      <c r="J26" s="172">
        <v>0.13473379629629631</v>
      </c>
      <c r="K26" s="18"/>
      <c r="L26" s="20"/>
      <c r="M26" s="18"/>
      <c r="N26" s="20"/>
      <c r="O26" s="160"/>
      <c r="P26" s="156"/>
      <c r="Q26" s="18"/>
      <c r="R26" s="45"/>
      <c r="S26" s="84"/>
      <c r="T26" s="31"/>
      <c r="U26" s="42"/>
      <c r="V26" s="18"/>
      <c r="W26" s="20"/>
      <c r="X26" s="160"/>
      <c r="Y26" s="156"/>
      <c r="Z26" s="24"/>
      <c r="AA26" s="18"/>
      <c r="AB26" s="18"/>
      <c r="AC26" s="20"/>
      <c r="AD26" s="160"/>
      <c r="AE26" s="156"/>
      <c r="AF26" s="24"/>
      <c r="AG26" s="28">
        <f t="shared" si="0"/>
        <v>42.02</v>
      </c>
      <c r="AH26" s="88">
        <f t="shared" si="1"/>
        <v>26</v>
      </c>
      <c r="AI26" s="34">
        <f t="shared" si="4"/>
        <v>16.020000000000003</v>
      </c>
      <c r="AJ26" s="58">
        <f t="shared" si="3"/>
        <v>0.13473379629629631</v>
      </c>
      <c r="AK26" s="33">
        <f>SUM(AG22:AG26)</f>
        <v>85.12</v>
      </c>
      <c r="AL26" s="21">
        <f>SUM(AJ22:AJ26)</f>
        <v>0.27577546296296296</v>
      </c>
      <c r="AM26" s="19"/>
      <c r="AN26" s="36"/>
      <c r="AO26" s="18"/>
      <c r="AP26" s="36"/>
      <c r="AQ26" s="18"/>
      <c r="AR26" s="36"/>
      <c r="AS26" s="18"/>
      <c r="AT26" s="36"/>
      <c r="AU26" s="18"/>
      <c r="AV26" s="36"/>
      <c r="AW26" s="18"/>
      <c r="AX26" s="36"/>
      <c r="AY26" s="18"/>
      <c r="AZ26" s="36"/>
      <c r="BA26" s="18"/>
      <c r="BB26" s="36"/>
      <c r="BC26" s="18"/>
      <c r="BD26" s="36"/>
      <c r="BE26" s="18"/>
      <c r="BF26" s="38"/>
    </row>
    <row r="27" spans="1:58" x14ac:dyDescent="0.25">
      <c r="A27" s="6"/>
      <c r="B27" s="1" t="s">
        <v>0</v>
      </c>
      <c r="C27" s="81">
        <v>41701</v>
      </c>
      <c r="D27" s="3">
        <v>9</v>
      </c>
      <c r="E27" s="41">
        <v>9.01</v>
      </c>
      <c r="F27" s="2"/>
      <c r="G27" s="14">
        <v>0.20972222222222223</v>
      </c>
      <c r="H27" s="159">
        <v>130</v>
      </c>
      <c r="I27" s="147">
        <v>138</v>
      </c>
      <c r="J27" s="171">
        <v>3.1527777777777773E-2</v>
      </c>
      <c r="M27" s="2"/>
      <c r="N27" s="14"/>
      <c r="O27" s="159"/>
      <c r="P27" s="147"/>
      <c r="Q27" s="26"/>
      <c r="R27" s="44"/>
      <c r="S27" s="26"/>
      <c r="V27" s="2"/>
      <c r="W27" s="14"/>
      <c r="X27" s="159"/>
      <c r="Y27" s="147"/>
      <c r="Z27" s="15"/>
      <c r="AD27" s="159"/>
      <c r="AE27" s="147"/>
      <c r="AF27" s="4"/>
      <c r="AG27" s="13">
        <f t="shared" si="0"/>
        <v>9.01</v>
      </c>
      <c r="AH27" s="87">
        <f t="shared" si="1"/>
        <v>9</v>
      </c>
      <c r="AI27" s="27">
        <f t="shared" si="2"/>
        <v>9.9999999999997868E-3</v>
      </c>
      <c r="AJ27" s="14">
        <f t="shared" si="3"/>
        <v>3.1527777777777773E-2</v>
      </c>
      <c r="AK27" s="32"/>
      <c r="AL27"/>
      <c r="AM27" s="3">
        <v>77.099999999999994</v>
      </c>
      <c r="AN27" s="9">
        <f>$AM$2-AM27</f>
        <v>0</v>
      </c>
      <c r="AP27" s="9">
        <f>$AO$2-AO27</f>
        <v>85</v>
      </c>
      <c r="AR27" s="9">
        <f>$AQ$2-AQ27</f>
        <v>91</v>
      </c>
      <c r="AT27" s="9">
        <f>$AS$2-AS27</f>
        <v>97</v>
      </c>
      <c r="AU27"/>
      <c r="AV27" s="9">
        <f>$AU$2-AU27</f>
        <v>56</v>
      </c>
      <c r="AX27" s="9">
        <f>$AW$2-AW27</f>
        <v>56</v>
      </c>
      <c r="AY27"/>
      <c r="AZ27" s="9">
        <f>$AY$2-AY27</f>
        <v>39</v>
      </c>
      <c r="BA27"/>
      <c r="BB27" s="9">
        <f>$BA$2-BA27</f>
        <v>39</v>
      </c>
      <c r="BC27"/>
      <c r="BD27" s="9">
        <f>$BC$2-BC27</f>
        <v>27</v>
      </c>
      <c r="BF27" s="37">
        <f>$BE$2-BE27</f>
        <v>27</v>
      </c>
    </row>
    <row r="28" spans="1:58" x14ac:dyDescent="0.25">
      <c r="A28" s="6"/>
      <c r="B28" s="1" t="s">
        <v>24</v>
      </c>
      <c r="C28" s="81">
        <v>41702</v>
      </c>
      <c r="D28" s="3"/>
      <c r="F28" s="2"/>
      <c r="G28" s="14"/>
      <c r="H28" s="159"/>
      <c r="I28" s="147"/>
      <c r="J28" s="171"/>
      <c r="K28">
        <v>6</v>
      </c>
      <c r="L28" s="13">
        <v>5.65</v>
      </c>
      <c r="M28" s="2"/>
      <c r="N28" s="14">
        <v>0.2076388888888889</v>
      </c>
      <c r="O28" s="159">
        <v>144</v>
      </c>
      <c r="P28" s="147">
        <v>150</v>
      </c>
      <c r="Q28" s="26">
        <v>1.954861111111111E-2</v>
      </c>
      <c r="R28" s="44">
        <v>1.59</v>
      </c>
      <c r="S28" s="26">
        <v>7.4074074074074068E-3</v>
      </c>
      <c r="T28" s="30" t="s">
        <v>44</v>
      </c>
      <c r="U28" s="41">
        <v>4</v>
      </c>
      <c r="V28" s="2">
        <v>0.15208333333333332</v>
      </c>
      <c r="W28" s="14">
        <v>0.14791666666666667</v>
      </c>
      <c r="X28" s="159">
        <v>185</v>
      </c>
      <c r="Y28" s="147">
        <v>171</v>
      </c>
      <c r="Z28" s="15">
        <v>9.8726851851851857E-3</v>
      </c>
      <c r="AC28" s="14"/>
      <c r="AD28" s="159"/>
      <c r="AE28" s="147"/>
      <c r="AF28" s="47"/>
      <c r="AG28" s="13">
        <f t="shared" si="0"/>
        <v>11.24</v>
      </c>
      <c r="AH28" s="87">
        <f t="shared" si="1"/>
        <v>11.59</v>
      </c>
      <c r="AI28" s="27">
        <f t="shared" si="2"/>
        <v>-0.34999999999999964</v>
      </c>
      <c r="AJ28" s="14">
        <f t="shared" si="3"/>
        <v>3.6828703703703704E-2</v>
      </c>
      <c r="AK28" s="32"/>
      <c r="AL28"/>
      <c r="AM28" s="3"/>
      <c r="AU28"/>
      <c r="AY28"/>
      <c r="BA28"/>
      <c r="BC28"/>
      <c r="BF28" s="37"/>
    </row>
    <row r="29" spans="1:58" x14ac:dyDescent="0.25">
      <c r="A29" s="6">
        <v>10</v>
      </c>
      <c r="B29" s="1" t="s">
        <v>26</v>
      </c>
      <c r="C29" s="81">
        <v>41704</v>
      </c>
      <c r="D29" s="3">
        <v>14</v>
      </c>
      <c r="E29" s="41">
        <v>16.21</v>
      </c>
      <c r="F29" s="2">
        <v>0.20694444444444446</v>
      </c>
      <c r="G29" s="14">
        <v>0.1986111111111111</v>
      </c>
      <c r="H29" s="159">
        <v>144</v>
      </c>
      <c r="I29" s="147">
        <v>145</v>
      </c>
      <c r="J29" s="171">
        <v>5.3692129629629631E-2</v>
      </c>
      <c r="M29" s="2"/>
      <c r="N29" s="14"/>
      <c r="O29" s="159"/>
      <c r="P29" s="147"/>
      <c r="Q29" s="26"/>
      <c r="R29" s="44"/>
      <c r="S29" s="26"/>
      <c r="V29" s="2"/>
      <c r="W29" s="14"/>
      <c r="X29" s="159"/>
      <c r="Y29" s="147"/>
      <c r="Z29" s="15"/>
      <c r="AD29" s="159"/>
      <c r="AE29" s="147"/>
      <c r="AF29" s="4"/>
      <c r="AG29" s="13">
        <f t="shared" si="0"/>
        <v>16.21</v>
      </c>
      <c r="AH29" s="87">
        <f t="shared" si="1"/>
        <v>14</v>
      </c>
      <c r="AI29" s="27">
        <f t="shared" si="2"/>
        <v>2.2100000000000009</v>
      </c>
      <c r="AJ29" s="14">
        <f t="shared" si="3"/>
        <v>5.3692129629629631E-2</v>
      </c>
      <c r="AK29" s="32"/>
      <c r="AL29"/>
      <c r="AM29" s="3"/>
      <c r="AU29"/>
      <c r="AY29"/>
      <c r="BA29"/>
      <c r="BC29"/>
      <c r="BF29" s="37"/>
    </row>
    <row r="30" spans="1:58" x14ac:dyDescent="0.25">
      <c r="A30" s="6"/>
      <c r="B30" s="1" t="s">
        <v>29</v>
      </c>
      <c r="C30" s="81">
        <v>41705</v>
      </c>
      <c r="D30" s="3"/>
      <c r="F30" s="2"/>
      <c r="G30" s="14"/>
      <c r="H30" s="159"/>
      <c r="I30" s="147"/>
      <c r="J30" s="171"/>
      <c r="K30">
        <v>6</v>
      </c>
      <c r="L30" s="13">
        <v>6.28</v>
      </c>
      <c r="M30" s="2"/>
      <c r="N30" s="14">
        <v>0.19999999999999998</v>
      </c>
      <c r="O30" s="159">
        <v>144</v>
      </c>
      <c r="P30" s="147">
        <v>144</v>
      </c>
      <c r="Q30" s="26">
        <v>2.0902777777777781E-2</v>
      </c>
      <c r="R30" s="44"/>
      <c r="S30" s="26"/>
      <c r="V30" s="2"/>
      <c r="W30" s="14"/>
      <c r="X30" s="159"/>
      <c r="Y30" s="147"/>
      <c r="Z30" s="15"/>
      <c r="AA30">
        <v>5</v>
      </c>
      <c r="AB30" s="2">
        <v>0.16388888888888889</v>
      </c>
      <c r="AC30" s="14">
        <v>0.16319444444444445</v>
      </c>
      <c r="AD30" s="159">
        <v>171</v>
      </c>
      <c r="AE30" s="147">
        <v>166</v>
      </c>
      <c r="AF30" s="15">
        <v>1.357638888888889E-2</v>
      </c>
      <c r="AG30" s="13">
        <f t="shared" si="0"/>
        <v>11.280000000000001</v>
      </c>
      <c r="AH30" s="87">
        <f t="shared" si="1"/>
        <v>11</v>
      </c>
      <c r="AI30" s="27">
        <f>AG30-AH30</f>
        <v>0.28000000000000114</v>
      </c>
      <c r="AJ30" s="14">
        <f t="shared" si="3"/>
        <v>3.4479166666666672E-2</v>
      </c>
      <c r="AK30" s="32"/>
      <c r="AL30"/>
      <c r="AM30" s="3"/>
      <c r="AU30"/>
      <c r="AY30"/>
      <c r="BA30"/>
      <c r="BC30"/>
      <c r="BF30" s="37"/>
    </row>
    <row r="31" spans="1:58" x14ac:dyDescent="0.25">
      <c r="A31" s="56"/>
      <c r="B31" s="17" t="s">
        <v>18</v>
      </c>
      <c r="C31" s="85">
        <v>41706</v>
      </c>
      <c r="D31" s="19">
        <v>28</v>
      </c>
      <c r="E31" s="42">
        <v>28.27</v>
      </c>
      <c r="F31" s="21">
        <v>0.20694444444444446</v>
      </c>
      <c r="G31" s="22">
        <v>0.19583333333333333</v>
      </c>
      <c r="H31" s="160">
        <v>158</v>
      </c>
      <c r="I31" s="156">
        <v>144</v>
      </c>
      <c r="J31" s="172">
        <v>9.2303240740740741E-2</v>
      </c>
      <c r="K31" s="18"/>
      <c r="L31" s="20"/>
      <c r="M31" s="18"/>
      <c r="N31" s="20"/>
      <c r="O31" s="160"/>
      <c r="P31" s="156"/>
      <c r="Q31" s="18"/>
      <c r="R31" s="45"/>
      <c r="S31" s="84"/>
      <c r="T31" s="31"/>
      <c r="U31" s="42"/>
      <c r="V31" s="18"/>
      <c r="W31" s="20"/>
      <c r="X31" s="160"/>
      <c r="Y31" s="156"/>
      <c r="Z31" s="24"/>
      <c r="AA31" s="18"/>
      <c r="AB31" s="18"/>
      <c r="AC31" s="20"/>
      <c r="AD31" s="160"/>
      <c r="AE31" s="156"/>
      <c r="AF31" s="24"/>
      <c r="AG31" s="28">
        <f t="shared" si="0"/>
        <v>28.27</v>
      </c>
      <c r="AH31" s="88">
        <f t="shared" si="1"/>
        <v>28</v>
      </c>
      <c r="AI31" s="34">
        <f t="shared" si="2"/>
        <v>0.26999999999999957</v>
      </c>
      <c r="AJ31" s="58">
        <f t="shared" si="3"/>
        <v>9.2303240740740741E-2</v>
      </c>
      <c r="AK31" s="33">
        <f>SUM(AG27:AG31)</f>
        <v>76.010000000000005</v>
      </c>
      <c r="AL31" s="21">
        <f>SUM(AJ12:AJ31)</f>
        <v>0.99759259259259259</v>
      </c>
      <c r="AM31" s="19"/>
      <c r="AN31" s="36"/>
      <c r="AO31" s="18"/>
      <c r="AP31" s="36"/>
      <c r="AQ31" s="18"/>
      <c r="AR31" s="36"/>
      <c r="AS31" s="18"/>
      <c r="AT31" s="36"/>
      <c r="AU31" s="18"/>
      <c r="AV31" s="36"/>
      <c r="AW31" s="18"/>
      <c r="AX31" s="36"/>
      <c r="AY31" s="18"/>
      <c r="AZ31" s="36"/>
      <c r="BA31" s="18"/>
      <c r="BB31" s="36"/>
      <c r="BC31" s="18"/>
      <c r="BD31" s="36"/>
      <c r="BE31" s="18"/>
      <c r="BF31" s="38"/>
    </row>
    <row r="32" spans="1:58" x14ac:dyDescent="0.25">
      <c r="A32" s="10"/>
      <c r="B32" s="1" t="s">
        <v>0</v>
      </c>
      <c r="C32" s="81">
        <v>41708</v>
      </c>
      <c r="D32" s="3">
        <v>8</v>
      </c>
      <c r="E32" s="54">
        <v>8.42</v>
      </c>
      <c r="F32" s="2"/>
      <c r="G32" s="52">
        <v>0.20902777777777778</v>
      </c>
      <c r="H32" s="161">
        <v>130</v>
      </c>
      <c r="I32" s="157">
        <v>138</v>
      </c>
      <c r="J32" s="171"/>
      <c r="K32" s="11"/>
      <c r="L32" s="50"/>
      <c r="M32" s="51"/>
      <c r="N32" s="52"/>
      <c r="O32" s="161"/>
      <c r="P32" s="157"/>
      <c r="Q32" s="26"/>
      <c r="R32" s="44"/>
      <c r="S32" s="26"/>
      <c r="T32" s="53"/>
      <c r="U32" s="54"/>
      <c r="V32" s="51"/>
      <c r="W32" s="52"/>
      <c r="X32" s="161"/>
      <c r="Y32" s="157"/>
      <c r="Z32" s="15"/>
      <c r="AA32" s="11"/>
      <c r="AB32" s="11"/>
      <c r="AC32" s="50"/>
      <c r="AD32" s="161"/>
      <c r="AE32" s="157"/>
      <c r="AF32" s="4"/>
      <c r="AG32" s="13">
        <f t="shared" si="0"/>
        <v>8.42</v>
      </c>
      <c r="AH32" s="87">
        <f t="shared" si="1"/>
        <v>8</v>
      </c>
      <c r="AI32" s="27">
        <f t="shared" si="2"/>
        <v>0.41999999999999993</v>
      </c>
      <c r="AJ32" s="14">
        <f t="shared" si="3"/>
        <v>0</v>
      </c>
      <c r="AK32" s="32"/>
      <c r="AL32" s="51"/>
      <c r="AM32" s="3">
        <v>76.7</v>
      </c>
      <c r="AN32" s="9">
        <f>$AM$2-AM32</f>
        <v>0.39999999999999147</v>
      </c>
      <c r="AP32" s="9">
        <f>$AO$2-AO32</f>
        <v>85</v>
      </c>
      <c r="AR32" s="9">
        <f>$AQ$2-AQ32</f>
        <v>91</v>
      </c>
      <c r="AT32" s="9">
        <f>$AS$2-AS32</f>
        <v>97</v>
      </c>
      <c r="AU32"/>
      <c r="AV32" s="9">
        <f>$AU$2-AU32</f>
        <v>56</v>
      </c>
      <c r="AX32" s="9">
        <f>$AW$2-AW32</f>
        <v>56</v>
      </c>
      <c r="AY32"/>
      <c r="AZ32" s="9">
        <f>$AY$2-AY32</f>
        <v>39</v>
      </c>
      <c r="BA32"/>
      <c r="BB32" s="9">
        <f>$BA$2-BA32</f>
        <v>39</v>
      </c>
      <c r="BC32"/>
      <c r="BD32" s="9">
        <f>$BC$2-BC32</f>
        <v>27</v>
      </c>
      <c r="BF32" s="37">
        <f>$BE$2-BE32</f>
        <v>27</v>
      </c>
    </row>
    <row r="33" spans="1:58" x14ac:dyDescent="0.25">
      <c r="A33" s="10"/>
      <c r="B33" s="1" t="s">
        <v>24</v>
      </c>
      <c r="C33" s="81">
        <v>41709</v>
      </c>
      <c r="D33" s="3"/>
      <c r="E33" s="54"/>
      <c r="F33" s="2"/>
      <c r="G33" s="52"/>
      <c r="H33" s="161"/>
      <c r="I33" s="157"/>
      <c r="J33" s="171"/>
      <c r="K33" s="11">
        <v>6</v>
      </c>
      <c r="L33" s="50">
        <v>6.03</v>
      </c>
      <c r="M33" s="11"/>
      <c r="N33" s="52">
        <v>0.20833333333333334</v>
      </c>
      <c r="O33" s="161">
        <v>144</v>
      </c>
      <c r="P33" s="157">
        <v>138</v>
      </c>
      <c r="Q33" s="26">
        <v>2.0949074074074075E-2</v>
      </c>
      <c r="R33" s="44">
        <v>2.44</v>
      </c>
      <c r="S33" s="26">
        <v>1.1805555555555555E-2</v>
      </c>
      <c r="T33" s="53" t="s">
        <v>28</v>
      </c>
      <c r="U33" s="54">
        <v>6</v>
      </c>
      <c r="V33" s="51">
        <v>0.15208333333333332</v>
      </c>
      <c r="W33" s="52">
        <v>0.15208333333333332</v>
      </c>
      <c r="X33" s="161">
        <v>185</v>
      </c>
      <c r="Y33" s="157">
        <v>168</v>
      </c>
      <c r="Z33" s="15">
        <v>1.5219907407407409E-2</v>
      </c>
      <c r="AA33" s="11"/>
      <c r="AB33" s="11"/>
      <c r="AC33" s="50"/>
      <c r="AD33" s="161"/>
      <c r="AE33" s="157"/>
      <c r="AF33" s="4"/>
      <c r="AG33" s="13">
        <f t="shared" si="0"/>
        <v>14.47</v>
      </c>
      <c r="AH33" s="87">
        <f t="shared" si="1"/>
        <v>14.44</v>
      </c>
      <c r="AI33" s="27">
        <f t="shared" si="2"/>
        <v>3.0000000000001137E-2</v>
      </c>
      <c r="AJ33" s="14">
        <f t="shared" si="3"/>
        <v>4.7974537037037038E-2</v>
      </c>
      <c r="AK33" s="32"/>
      <c r="AL33" s="51"/>
      <c r="AM33" s="3"/>
      <c r="AU33"/>
      <c r="AY33"/>
      <c r="BA33"/>
      <c r="BC33"/>
      <c r="BF33" s="37"/>
    </row>
    <row r="34" spans="1:58" x14ac:dyDescent="0.25">
      <c r="A34" s="10">
        <v>11</v>
      </c>
      <c r="B34" s="1" t="s">
        <v>15</v>
      </c>
      <c r="C34" s="81">
        <v>41710</v>
      </c>
      <c r="D34" s="3">
        <v>10</v>
      </c>
      <c r="E34" s="54">
        <v>10.09</v>
      </c>
      <c r="F34" s="51">
        <v>0.20694444444444446</v>
      </c>
      <c r="G34" s="52">
        <v>0.20347222222222219</v>
      </c>
      <c r="H34" s="161">
        <v>144</v>
      </c>
      <c r="I34" s="157">
        <v>141</v>
      </c>
      <c r="J34" s="171"/>
      <c r="K34" s="11"/>
      <c r="L34" s="50"/>
      <c r="M34" s="2"/>
      <c r="N34" s="52"/>
      <c r="O34" s="161"/>
      <c r="P34" s="157"/>
      <c r="Q34" s="26"/>
      <c r="R34" s="44"/>
      <c r="S34" s="26"/>
      <c r="T34" s="53"/>
      <c r="U34" s="54"/>
      <c r="V34" s="11"/>
      <c r="W34" s="50"/>
      <c r="X34" s="161"/>
      <c r="Y34" s="157"/>
      <c r="Z34" s="4"/>
      <c r="AA34" s="11"/>
      <c r="AB34" s="11"/>
      <c r="AC34" s="52"/>
      <c r="AD34" s="161"/>
      <c r="AE34" s="157"/>
      <c r="AF34" s="15"/>
      <c r="AG34" s="13">
        <f t="shared" ref="AG34:AG65" si="5">E34+L34+U34+AA34+R34</f>
        <v>10.09</v>
      </c>
      <c r="AH34" s="87">
        <f t="shared" ref="AH34:AH65" si="6">D34+K34+U34+AA34+R34</f>
        <v>10</v>
      </c>
      <c r="AI34" s="27">
        <f t="shared" si="2"/>
        <v>8.9999999999999858E-2</v>
      </c>
      <c r="AJ34" s="14">
        <f t="shared" ref="AJ34:AJ65" si="7">J34+Q34+Z34+AF34+S34</f>
        <v>0</v>
      </c>
      <c r="AK34" s="32"/>
      <c r="AL34" s="51"/>
      <c r="AM34" s="3"/>
      <c r="AN34" s="55"/>
      <c r="AO34" s="11"/>
      <c r="AP34" s="55"/>
      <c r="AQ34" s="11"/>
      <c r="AR34" s="55"/>
      <c r="AS34" s="11"/>
      <c r="AT34" s="55"/>
      <c r="AU34" s="11"/>
      <c r="AV34" s="55"/>
      <c r="AW34" s="11"/>
      <c r="AX34" s="55"/>
      <c r="AY34" s="11"/>
      <c r="AZ34" s="55"/>
      <c r="BA34" s="11"/>
      <c r="BB34" s="55"/>
      <c r="BC34" s="11"/>
      <c r="BD34" s="55"/>
      <c r="BE34" s="11"/>
      <c r="BF34" s="37"/>
    </row>
    <row r="35" spans="1:58" x14ac:dyDescent="0.25">
      <c r="A35" s="10"/>
      <c r="B35" s="1" t="s">
        <v>29</v>
      </c>
      <c r="C35" s="81">
        <v>41712</v>
      </c>
      <c r="D35" s="3">
        <v>16</v>
      </c>
      <c r="E35" s="54">
        <v>16.09</v>
      </c>
      <c r="F35" s="51">
        <v>0.20694444444444446</v>
      </c>
      <c r="G35" s="52">
        <v>0.19305555555555554</v>
      </c>
      <c r="H35" s="161">
        <v>144</v>
      </c>
      <c r="I35" s="157">
        <v>145</v>
      </c>
      <c r="J35" s="171"/>
      <c r="K35" s="11"/>
      <c r="L35" s="50"/>
      <c r="M35" s="2"/>
      <c r="N35" s="52"/>
      <c r="O35" s="161"/>
      <c r="P35" s="157"/>
      <c r="Q35" s="26"/>
      <c r="R35" s="44"/>
      <c r="S35" s="26"/>
      <c r="T35" s="53"/>
      <c r="U35" s="54"/>
      <c r="V35" s="11"/>
      <c r="W35" s="50"/>
      <c r="X35" s="161"/>
      <c r="Y35" s="157"/>
      <c r="Z35" s="4"/>
      <c r="AA35" s="11"/>
      <c r="AB35" s="11"/>
      <c r="AC35" s="52"/>
      <c r="AD35" s="161"/>
      <c r="AE35" s="157"/>
      <c r="AF35" s="15"/>
      <c r="AG35" s="13">
        <f t="shared" si="5"/>
        <v>16.09</v>
      </c>
      <c r="AH35" s="87">
        <f t="shared" si="6"/>
        <v>16</v>
      </c>
      <c r="AI35" s="27">
        <f>AG35-AH35</f>
        <v>8.9999999999999858E-2</v>
      </c>
      <c r="AJ35" s="14">
        <f t="shared" si="7"/>
        <v>0</v>
      </c>
      <c r="AK35" s="32"/>
      <c r="AL35" s="51"/>
      <c r="AM35" s="3"/>
      <c r="AN35" s="55"/>
      <c r="AO35" s="11"/>
      <c r="AP35" s="55"/>
      <c r="AQ35" s="11"/>
      <c r="AR35" s="55"/>
      <c r="AS35" s="11"/>
      <c r="AT35" s="55"/>
      <c r="AU35" s="11"/>
      <c r="AV35" s="55"/>
      <c r="AW35" s="11"/>
      <c r="AX35" s="55"/>
      <c r="AY35" s="11"/>
      <c r="AZ35" s="55"/>
      <c r="BA35" s="11"/>
      <c r="BB35" s="55"/>
      <c r="BC35" s="11"/>
      <c r="BD35" s="55"/>
      <c r="BE35" s="11"/>
      <c r="BF35" s="37"/>
    </row>
    <row r="36" spans="1:58" x14ac:dyDescent="0.25">
      <c r="A36" s="56"/>
      <c r="B36" s="17" t="s">
        <v>27</v>
      </c>
      <c r="C36" s="85">
        <v>41714</v>
      </c>
      <c r="D36" s="19">
        <v>28</v>
      </c>
      <c r="E36" s="42">
        <v>29.01</v>
      </c>
      <c r="F36" s="21">
        <v>0.20694444444444446</v>
      </c>
      <c r="G36" s="22">
        <v>0.20069444444444443</v>
      </c>
      <c r="H36" s="160">
        <v>158</v>
      </c>
      <c r="I36" s="156">
        <v>149</v>
      </c>
      <c r="J36" s="172"/>
      <c r="K36" s="18"/>
      <c r="L36" s="20"/>
      <c r="M36" s="18"/>
      <c r="N36" s="20"/>
      <c r="O36" s="160"/>
      <c r="P36" s="156"/>
      <c r="Q36" s="18"/>
      <c r="R36" s="45"/>
      <c r="S36" s="84"/>
      <c r="T36" s="31"/>
      <c r="U36" s="42"/>
      <c r="V36" s="18"/>
      <c r="W36" s="20"/>
      <c r="X36" s="160"/>
      <c r="Y36" s="156"/>
      <c r="Z36" s="24"/>
      <c r="AA36" s="18"/>
      <c r="AB36" s="18"/>
      <c r="AC36" s="20"/>
      <c r="AD36" s="160"/>
      <c r="AE36" s="156"/>
      <c r="AF36" s="24"/>
      <c r="AG36" s="28">
        <f t="shared" si="5"/>
        <v>29.01</v>
      </c>
      <c r="AH36" s="88">
        <f t="shared" si="6"/>
        <v>28</v>
      </c>
      <c r="AI36" s="34">
        <f t="shared" si="2"/>
        <v>1.0100000000000016</v>
      </c>
      <c r="AJ36" s="58">
        <f t="shared" si="7"/>
        <v>0</v>
      </c>
      <c r="AK36" s="33">
        <f>SUM(AG32:AG36)</f>
        <v>78.080000000000013</v>
      </c>
      <c r="AL36" s="21">
        <f>SUM(AJ32:AJ36)</f>
        <v>4.7974537037037038E-2</v>
      </c>
      <c r="AM36" s="19"/>
      <c r="AN36" s="36"/>
      <c r="AO36" s="18"/>
      <c r="AP36" s="36"/>
      <c r="AQ36" s="18"/>
      <c r="AR36" s="36"/>
      <c r="AS36" s="18"/>
      <c r="AT36" s="36"/>
      <c r="AU36" s="18"/>
      <c r="AV36" s="36"/>
      <c r="AW36" s="18"/>
      <c r="AX36" s="36"/>
      <c r="AY36" s="18"/>
      <c r="AZ36" s="36"/>
      <c r="BA36" s="18"/>
      <c r="BB36" s="36"/>
      <c r="BC36" s="18"/>
      <c r="BD36" s="36"/>
      <c r="BE36" s="18"/>
      <c r="BF36" s="38"/>
    </row>
    <row r="37" spans="1:58" x14ac:dyDescent="0.25">
      <c r="A37" s="10"/>
      <c r="B37" s="1" t="s">
        <v>0</v>
      </c>
      <c r="C37" s="81">
        <v>41715</v>
      </c>
      <c r="D37" s="3">
        <v>8</v>
      </c>
      <c r="E37" s="54">
        <v>8.16</v>
      </c>
      <c r="F37" s="2"/>
      <c r="G37" s="52">
        <v>0.20555555555555557</v>
      </c>
      <c r="H37" s="161">
        <v>130</v>
      </c>
      <c r="I37" s="175" t="s">
        <v>162</v>
      </c>
      <c r="J37" s="171"/>
      <c r="K37" s="11"/>
      <c r="L37" s="50"/>
      <c r="M37" s="51"/>
      <c r="N37" s="52"/>
      <c r="O37" s="161"/>
      <c r="P37" s="157"/>
      <c r="Q37" s="26"/>
      <c r="R37" s="44"/>
      <c r="S37" s="26"/>
      <c r="T37" s="53"/>
      <c r="U37" s="54"/>
      <c r="V37" s="51"/>
      <c r="W37" s="52"/>
      <c r="X37" s="161"/>
      <c r="Y37" s="157"/>
      <c r="Z37" s="15"/>
      <c r="AA37" s="11"/>
      <c r="AB37" s="11"/>
      <c r="AC37" s="50"/>
      <c r="AD37" s="161"/>
      <c r="AE37" s="157"/>
      <c r="AF37" s="4"/>
      <c r="AG37" s="13">
        <f t="shared" si="5"/>
        <v>8.16</v>
      </c>
      <c r="AH37" s="87">
        <f t="shared" si="6"/>
        <v>8</v>
      </c>
      <c r="AI37" s="27">
        <f t="shared" si="2"/>
        <v>0.16000000000000014</v>
      </c>
      <c r="AJ37" s="14">
        <f t="shared" si="7"/>
        <v>0</v>
      </c>
      <c r="AK37" s="32"/>
      <c r="AL37" s="51"/>
      <c r="AM37" s="3">
        <v>76.5</v>
      </c>
      <c r="AN37" s="9">
        <f>$AM$2-AM37</f>
        <v>0.59999999999999432</v>
      </c>
      <c r="AP37" s="9">
        <f>$AO$2-AO37</f>
        <v>85</v>
      </c>
      <c r="AR37" s="9">
        <f>$AQ$2-AQ37</f>
        <v>91</v>
      </c>
      <c r="AT37" s="9">
        <f>$AS$2-AS37</f>
        <v>97</v>
      </c>
      <c r="AU37"/>
      <c r="AV37" s="9">
        <f>$AU$2-AU37</f>
        <v>56</v>
      </c>
      <c r="AX37" s="9">
        <f>$AW$2-AW37</f>
        <v>56</v>
      </c>
      <c r="AY37"/>
      <c r="AZ37" s="9">
        <f>$AY$2-AY37</f>
        <v>39</v>
      </c>
      <c r="BA37"/>
      <c r="BB37" s="9">
        <f>$BA$2-BA37</f>
        <v>39</v>
      </c>
      <c r="BC37"/>
      <c r="BD37" s="9">
        <f>$BC$2-BC37</f>
        <v>27</v>
      </c>
      <c r="BF37" s="37">
        <f>$BE$2-BE37</f>
        <v>27</v>
      </c>
    </row>
    <row r="38" spans="1:58" x14ac:dyDescent="0.25">
      <c r="A38" s="10"/>
      <c r="B38" s="1" t="s">
        <v>18</v>
      </c>
      <c r="C38" s="81">
        <v>41762</v>
      </c>
      <c r="D38" s="3"/>
      <c r="E38" s="54"/>
      <c r="F38" s="2"/>
      <c r="G38" s="52"/>
      <c r="H38" s="161"/>
      <c r="I38" s="157"/>
      <c r="J38" s="171"/>
      <c r="K38" s="11">
        <v>5</v>
      </c>
      <c r="L38" s="50">
        <v>5.77</v>
      </c>
      <c r="M38" s="11"/>
      <c r="N38" s="52">
        <v>0.20625000000000002</v>
      </c>
      <c r="O38" s="161">
        <v>144</v>
      </c>
      <c r="P38" s="157">
        <v>150</v>
      </c>
      <c r="Q38" s="26">
        <v>1.9884259259259258E-2</v>
      </c>
      <c r="R38" s="44"/>
      <c r="S38" s="26"/>
      <c r="T38" s="53"/>
      <c r="U38" s="54"/>
      <c r="V38" s="11"/>
      <c r="W38" s="50"/>
      <c r="X38" s="161"/>
      <c r="Y38" s="157"/>
      <c r="Z38" s="4"/>
      <c r="AA38" s="11">
        <v>5</v>
      </c>
      <c r="AB38" s="51"/>
      <c r="AC38" s="52">
        <v>0.15555555555555556</v>
      </c>
      <c r="AD38" s="161">
        <v>185</v>
      </c>
      <c r="AE38" s="157">
        <v>171</v>
      </c>
      <c r="AF38" s="15">
        <v>1.298611111111111E-2</v>
      </c>
      <c r="AG38" s="13">
        <f t="shared" si="5"/>
        <v>10.77</v>
      </c>
      <c r="AH38" s="87">
        <f t="shared" si="6"/>
        <v>10</v>
      </c>
      <c r="AI38" s="27">
        <f t="shared" si="2"/>
        <v>0.76999999999999957</v>
      </c>
      <c r="AJ38" s="14">
        <f t="shared" si="7"/>
        <v>3.2870370370370369E-2</v>
      </c>
      <c r="AK38" s="32"/>
      <c r="AL38" s="51"/>
      <c r="AM38" s="3"/>
      <c r="AU38"/>
      <c r="AY38"/>
      <c r="BA38"/>
      <c r="BC38"/>
      <c r="BF38" s="37"/>
    </row>
    <row r="39" spans="1:58" x14ac:dyDescent="0.25">
      <c r="A39" s="10">
        <v>12</v>
      </c>
      <c r="B39" s="1" t="s">
        <v>29</v>
      </c>
      <c r="C39" s="81">
        <v>41719</v>
      </c>
      <c r="D39" s="3">
        <v>8</v>
      </c>
      <c r="E39" s="54">
        <v>8.39</v>
      </c>
      <c r="F39" s="51">
        <v>0.20694444444444446</v>
      </c>
      <c r="G39" s="52">
        <v>0.1986111111111111</v>
      </c>
      <c r="H39" s="161">
        <v>144</v>
      </c>
      <c r="I39" s="157">
        <v>140</v>
      </c>
      <c r="J39" s="171">
        <v>2.7754629629629629E-2</v>
      </c>
      <c r="K39" s="11"/>
      <c r="L39" s="50"/>
      <c r="M39" s="2"/>
      <c r="N39" s="52"/>
      <c r="O39" s="161"/>
      <c r="P39" s="157"/>
      <c r="Q39" s="26"/>
      <c r="R39" s="44"/>
      <c r="S39" s="26"/>
      <c r="T39" s="53"/>
      <c r="U39" s="54"/>
      <c r="V39" s="11"/>
      <c r="W39" s="50"/>
      <c r="X39" s="161"/>
      <c r="Y39" s="157"/>
      <c r="Z39" s="4"/>
      <c r="AA39" s="11"/>
      <c r="AB39" s="11"/>
      <c r="AC39" s="52"/>
      <c r="AD39" s="161"/>
      <c r="AE39" s="157"/>
      <c r="AF39" s="15"/>
      <c r="AG39" s="13">
        <f t="shared" si="5"/>
        <v>8.39</v>
      </c>
      <c r="AH39" s="87">
        <f t="shared" si="6"/>
        <v>8</v>
      </c>
      <c r="AI39" s="27">
        <f t="shared" si="2"/>
        <v>0.39000000000000057</v>
      </c>
      <c r="AJ39" s="14">
        <f t="shared" si="7"/>
        <v>2.7754629629629629E-2</v>
      </c>
      <c r="AK39" s="32"/>
      <c r="AL39" s="51"/>
      <c r="AM39" s="3"/>
      <c r="AN39" s="55"/>
      <c r="AO39" s="11"/>
      <c r="AP39" s="55"/>
      <c r="AQ39" s="11"/>
      <c r="AR39" s="55"/>
      <c r="AS39" s="11"/>
      <c r="AT39" s="55"/>
      <c r="AU39" s="11"/>
      <c r="AV39" s="55"/>
      <c r="AW39" s="11"/>
      <c r="AX39" s="55"/>
      <c r="AY39" s="11"/>
      <c r="AZ39" s="55"/>
      <c r="BA39" s="11"/>
      <c r="BB39" s="55"/>
      <c r="BC39" s="11"/>
      <c r="BD39" s="55"/>
      <c r="BE39" s="11"/>
      <c r="BF39" s="37"/>
    </row>
    <row r="40" spans="1:58" x14ac:dyDescent="0.25">
      <c r="A40" s="10"/>
      <c r="B40" s="1" t="s">
        <v>15</v>
      </c>
      <c r="C40" s="81">
        <v>41717</v>
      </c>
      <c r="D40" s="3">
        <v>12</v>
      </c>
      <c r="E40" s="54">
        <v>12.3</v>
      </c>
      <c r="F40" s="51">
        <v>0.20694444444444446</v>
      </c>
      <c r="G40" s="52">
        <v>0.20277777777777781</v>
      </c>
      <c r="H40" s="161">
        <v>144</v>
      </c>
      <c r="I40" s="157">
        <v>151</v>
      </c>
      <c r="J40" s="171">
        <v>4.1562500000000002E-2</v>
      </c>
      <c r="K40" s="11"/>
      <c r="L40" s="50"/>
      <c r="M40" s="2"/>
      <c r="N40" s="52"/>
      <c r="O40" s="161"/>
      <c r="P40" s="157"/>
      <c r="Q40" s="26"/>
      <c r="R40" s="44"/>
      <c r="S40" s="26"/>
      <c r="T40" s="53"/>
      <c r="U40" s="54"/>
      <c r="V40" s="11"/>
      <c r="W40" s="50"/>
      <c r="X40" s="161"/>
      <c r="Y40" s="157"/>
      <c r="Z40" s="4"/>
      <c r="AA40" s="11"/>
      <c r="AB40" s="11"/>
      <c r="AC40" s="52"/>
      <c r="AD40" s="161"/>
      <c r="AE40" s="157"/>
      <c r="AF40" s="15"/>
      <c r="AG40" s="13">
        <f t="shared" si="5"/>
        <v>12.3</v>
      </c>
      <c r="AH40" s="87">
        <f t="shared" si="6"/>
        <v>12</v>
      </c>
      <c r="AI40" s="27">
        <f>AG40-AH40</f>
        <v>0.30000000000000071</v>
      </c>
      <c r="AJ40" s="14">
        <f t="shared" si="7"/>
        <v>4.1562500000000002E-2</v>
      </c>
      <c r="AK40" s="32"/>
      <c r="AL40" s="51"/>
      <c r="AM40" s="3"/>
      <c r="AN40" s="55"/>
      <c r="AO40" s="11"/>
      <c r="AP40" s="55"/>
      <c r="AQ40" s="11"/>
      <c r="AR40" s="55"/>
      <c r="AS40" s="11"/>
      <c r="AT40" s="55"/>
      <c r="AU40" s="11"/>
      <c r="AV40" s="55"/>
      <c r="AW40" s="11"/>
      <c r="AX40" s="55"/>
      <c r="AY40" s="11"/>
      <c r="AZ40" s="55"/>
      <c r="BA40" s="11"/>
      <c r="BB40" s="55"/>
      <c r="BC40" s="11"/>
      <c r="BD40" s="55"/>
      <c r="BE40" s="11"/>
      <c r="BF40" s="37"/>
    </row>
    <row r="41" spans="1:58" x14ac:dyDescent="0.25">
      <c r="A41" s="56"/>
      <c r="B41" s="17" t="s">
        <v>27</v>
      </c>
      <c r="C41" s="85">
        <v>41721</v>
      </c>
      <c r="D41" s="19">
        <v>22</v>
      </c>
      <c r="E41" s="42">
        <v>42.22</v>
      </c>
      <c r="F41" s="21">
        <v>0.20694444444444446</v>
      </c>
      <c r="G41" s="22">
        <v>0.19722222222222222</v>
      </c>
      <c r="H41" s="160">
        <v>158</v>
      </c>
      <c r="I41" s="156">
        <v>161</v>
      </c>
      <c r="J41" s="172">
        <v>0.13868055555555556</v>
      </c>
      <c r="K41" s="18"/>
      <c r="L41" s="20"/>
      <c r="M41" s="18"/>
      <c r="N41" s="20"/>
      <c r="O41" s="160"/>
      <c r="P41" s="156"/>
      <c r="Q41" s="18"/>
      <c r="R41" s="45"/>
      <c r="S41" s="84"/>
      <c r="T41" s="31"/>
      <c r="U41" s="42"/>
      <c r="V41" s="18"/>
      <c r="W41" s="20"/>
      <c r="X41" s="160"/>
      <c r="Y41" s="156"/>
      <c r="Z41" s="24"/>
      <c r="AA41" s="18"/>
      <c r="AB41" s="18"/>
      <c r="AC41" s="20"/>
      <c r="AD41" s="160"/>
      <c r="AE41" s="156"/>
      <c r="AF41" s="24"/>
      <c r="AG41" s="28">
        <f t="shared" si="5"/>
        <v>42.22</v>
      </c>
      <c r="AH41" s="88">
        <f t="shared" si="6"/>
        <v>22</v>
      </c>
      <c r="AI41" s="34">
        <f t="shared" si="2"/>
        <v>20.22</v>
      </c>
      <c r="AJ41" s="58">
        <f t="shared" si="7"/>
        <v>0.13868055555555556</v>
      </c>
      <c r="AK41" s="33">
        <f>SUM(AG37:AG41)</f>
        <v>81.84</v>
      </c>
      <c r="AL41" s="21">
        <f>SUM(AJ37:AJ41)</f>
        <v>0.24086805555555557</v>
      </c>
      <c r="AM41" s="19"/>
      <c r="AN41" s="36"/>
      <c r="AO41" s="18"/>
      <c r="AP41" s="36"/>
      <c r="AQ41" s="18"/>
      <c r="AR41" s="36"/>
      <c r="AS41" s="18"/>
      <c r="AT41" s="36"/>
      <c r="AU41" s="18"/>
      <c r="AV41" s="36"/>
      <c r="AW41" s="18"/>
      <c r="AX41" s="36"/>
      <c r="AY41" s="18"/>
      <c r="AZ41" s="36"/>
      <c r="BA41" s="18"/>
      <c r="BB41" s="36"/>
      <c r="BC41" s="18"/>
      <c r="BD41" s="36"/>
      <c r="BE41" s="18"/>
      <c r="BF41" s="38"/>
    </row>
    <row r="42" spans="1:58" x14ac:dyDescent="0.25">
      <c r="A42" s="10"/>
      <c r="B42" s="1" t="s">
        <v>0</v>
      </c>
      <c r="C42" s="81">
        <v>41722</v>
      </c>
      <c r="D42" s="3">
        <v>10</v>
      </c>
      <c r="E42" s="54">
        <v>10.4</v>
      </c>
      <c r="F42" s="51"/>
      <c r="G42" s="52">
        <v>0.20902777777777778</v>
      </c>
      <c r="H42" s="161">
        <v>130</v>
      </c>
      <c r="I42" s="157">
        <v>136</v>
      </c>
      <c r="J42" s="171">
        <v>3.6215277777777777E-2</v>
      </c>
      <c r="K42" s="11"/>
      <c r="L42" s="50"/>
      <c r="M42" s="11"/>
      <c r="N42" s="50"/>
      <c r="O42" s="161"/>
      <c r="P42" s="157"/>
      <c r="Q42" s="11"/>
      <c r="R42" s="44"/>
      <c r="S42" s="26"/>
      <c r="T42" s="53"/>
      <c r="U42" s="54"/>
      <c r="V42" s="11"/>
      <c r="W42" s="50"/>
      <c r="X42" s="161"/>
      <c r="Y42" s="157"/>
      <c r="Z42" s="4"/>
      <c r="AA42" s="11"/>
      <c r="AB42" s="11"/>
      <c r="AC42" s="50"/>
      <c r="AD42" s="161"/>
      <c r="AE42" s="157"/>
      <c r="AF42" s="4"/>
      <c r="AG42" s="13">
        <f t="shared" si="5"/>
        <v>10.4</v>
      </c>
      <c r="AH42" s="87">
        <f t="shared" si="6"/>
        <v>10</v>
      </c>
      <c r="AI42" s="27">
        <f t="shared" si="2"/>
        <v>0.40000000000000036</v>
      </c>
      <c r="AJ42" s="14">
        <f t="shared" si="7"/>
        <v>3.6215277777777777E-2</v>
      </c>
      <c r="AK42" s="32"/>
      <c r="AL42" s="51"/>
      <c r="AM42" s="3">
        <v>75.3</v>
      </c>
      <c r="AN42" s="9">
        <f>$AM$2-AM42</f>
        <v>1.7999999999999972</v>
      </c>
      <c r="AP42" s="9">
        <f>$AO$2-AO42</f>
        <v>85</v>
      </c>
      <c r="AR42" s="9">
        <f>$AQ$2-AQ42</f>
        <v>91</v>
      </c>
      <c r="AT42" s="9">
        <f>$AS$2-AS42</f>
        <v>97</v>
      </c>
      <c r="AU42"/>
      <c r="AV42" s="9">
        <f>$AU$2-AU42</f>
        <v>56</v>
      </c>
      <c r="AX42" s="9">
        <f>$AW$2-AW42</f>
        <v>56</v>
      </c>
      <c r="AY42"/>
      <c r="AZ42" s="9">
        <f>$AY$2-AY42</f>
        <v>39</v>
      </c>
      <c r="BA42"/>
      <c r="BB42" s="9">
        <f>$BA$2-BA42</f>
        <v>39</v>
      </c>
      <c r="BC42"/>
      <c r="BD42" s="9">
        <f>$BC$2-BC42</f>
        <v>27</v>
      </c>
      <c r="BF42" s="37">
        <f>$BE$2-BE42</f>
        <v>27</v>
      </c>
    </row>
    <row r="43" spans="1:58" x14ac:dyDescent="0.25">
      <c r="A43" s="10"/>
      <c r="B43" s="1" t="s">
        <v>24</v>
      </c>
      <c r="C43" s="81">
        <v>41723</v>
      </c>
      <c r="D43" s="3"/>
      <c r="E43" s="54"/>
      <c r="F43" s="51"/>
      <c r="G43" s="52"/>
      <c r="H43" s="161"/>
      <c r="I43" s="157"/>
      <c r="J43" s="171"/>
      <c r="K43" s="11">
        <v>6</v>
      </c>
      <c r="L43" s="50">
        <v>5.21</v>
      </c>
      <c r="M43" s="51"/>
      <c r="N43" s="52">
        <v>0.21597222222222223</v>
      </c>
      <c r="O43" s="161">
        <v>144</v>
      </c>
      <c r="P43" s="157">
        <v>143</v>
      </c>
      <c r="Q43" s="26">
        <v>1.8634259259259257E-2</v>
      </c>
      <c r="R43" s="44"/>
      <c r="S43" s="26"/>
      <c r="T43" s="53"/>
      <c r="U43" s="54"/>
      <c r="V43" s="11"/>
      <c r="W43" s="50"/>
      <c r="X43" s="161"/>
      <c r="Y43" s="157"/>
      <c r="Z43" s="4"/>
      <c r="AA43" s="11">
        <v>6</v>
      </c>
      <c r="AB43" s="51">
        <v>0.16388888888888889</v>
      </c>
      <c r="AC43" s="52">
        <v>0.16527777777777777</v>
      </c>
      <c r="AD43" s="161">
        <v>171</v>
      </c>
      <c r="AE43" s="157">
        <v>169</v>
      </c>
      <c r="AF43" s="15">
        <v>1.6516203703703703E-2</v>
      </c>
      <c r="AG43" s="13">
        <f t="shared" si="5"/>
        <v>11.21</v>
      </c>
      <c r="AH43" s="87">
        <f t="shared" si="6"/>
        <v>12</v>
      </c>
      <c r="AI43" s="27">
        <f t="shared" si="2"/>
        <v>-0.78999999999999915</v>
      </c>
      <c r="AJ43" s="14">
        <f t="shared" si="7"/>
        <v>3.515046296296296E-2</v>
      </c>
      <c r="AK43" s="32"/>
      <c r="AL43" s="51"/>
      <c r="AM43" s="3"/>
      <c r="AU43"/>
      <c r="AY43"/>
      <c r="BA43"/>
      <c r="BC43"/>
      <c r="BF43" s="37"/>
    </row>
    <row r="44" spans="1:58" x14ac:dyDescent="0.25">
      <c r="A44" s="10">
        <v>13</v>
      </c>
      <c r="B44" s="1" t="s">
        <v>29</v>
      </c>
      <c r="C44" s="81">
        <v>41726</v>
      </c>
      <c r="D44" s="3">
        <v>10</v>
      </c>
      <c r="E44" s="54">
        <v>5.0599999999999996</v>
      </c>
      <c r="F44" s="51">
        <v>0.20694444444444446</v>
      </c>
      <c r="G44" s="52">
        <v>0.18055555555555555</v>
      </c>
      <c r="H44" s="161">
        <v>144</v>
      </c>
      <c r="I44" s="157">
        <v>160</v>
      </c>
      <c r="J44" s="171">
        <v>1.5231481481481483E-2</v>
      </c>
      <c r="K44" s="11"/>
      <c r="L44" s="50"/>
      <c r="M44" s="2"/>
      <c r="N44" s="52"/>
      <c r="O44" s="161"/>
      <c r="P44" s="157"/>
      <c r="Q44" s="26"/>
      <c r="R44" s="44"/>
      <c r="S44" s="26"/>
      <c r="T44" s="53"/>
      <c r="U44" s="54"/>
      <c r="V44" s="51"/>
      <c r="W44" s="52"/>
      <c r="X44" s="161"/>
      <c r="Y44" s="157"/>
      <c r="Z44" s="15"/>
      <c r="AA44" s="11"/>
      <c r="AB44" s="11"/>
      <c r="AC44" s="50"/>
      <c r="AD44" s="161"/>
      <c r="AE44" s="157"/>
      <c r="AF44" s="4"/>
      <c r="AG44" s="13">
        <f t="shared" si="5"/>
        <v>5.0599999999999996</v>
      </c>
      <c r="AH44" s="87">
        <f t="shared" si="6"/>
        <v>10</v>
      </c>
      <c r="AI44" s="27">
        <f t="shared" si="2"/>
        <v>-4.9400000000000004</v>
      </c>
      <c r="AJ44" s="14">
        <f t="shared" si="7"/>
        <v>1.5231481481481483E-2</v>
      </c>
      <c r="AK44" s="32"/>
      <c r="AL44" s="51"/>
      <c r="AM44" s="3"/>
      <c r="AN44" s="55"/>
      <c r="AO44" s="11"/>
      <c r="AP44" s="55"/>
      <c r="AQ44" s="11"/>
      <c r="AR44" s="55"/>
      <c r="AS44" s="11"/>
      <c r="AT44" s="55"/>
      <c r="AU44" s="11"/>
      <c r="AV44" s="55"/>
      <c r="AW44" s="11"/>
      <c r="AX44" s="55"/>
      <c r="AY44" s="11"/>
      <c r="AZ44" s="55"/>
      <c r="BA44" s="11"/>
      <c r="BB44" s="55"/>
      <c r="BC44" s="11"/>
      <c r="BD44" s="55"/>
      <c r="BE44" s="11"/>
      <c r="BF44" s="37"/>
    </row>
    <row r="45" spans="1:58" x14ac:dyDescent="0.25">
      <c r="A45" s="10"/>
      <c r="B45" s="1" t="s">
        <v>15</v>
      </c>
      <c r="C45" s="81">
        <v>41724</v>
      </c>
      <c r="D45" s="3">
        <v>16</v>
      </c>
      <c r="E45" s="54">
        <v>15.45</v>
      </c>
      <c r="F45" s="51">
        <v>0.20694444444444446</v>
      </c>
      <c r="G45" s="52">
        <v>0.20347222222222219</v>
      </c>
      <c r="H45" s="161">
        <v>144</v>
      </c>
      <c r="I45" s="157">
        <v>149</v>
      </c>
      <c r="J45" s="171">
        <v>5.2465277777777784E-2</v>
      </c>
      <c r="K45" s="11"/>
      <c r="L45" s="50"/>
      <c r="M45" s="2"/>
      <c r="N45" s="52"/>
      <c r="O45" s="161"/>
      <c r="P45" s="157"/>
      <c r="Q45" s="26"/>
      <c r="R45" s="44"/>
      <c r="S45" s="26"/>
      <c r="T45" s="53"/>
      <c r="U45" s="54"/>
      <c r="V45" s="51"/>
      <c r="W45" s="52"/>
      <c r="X45" s="161"/>
      <c r="Y45" s="157"/>
      <c r="Z45" s="15"/>
      <c r="AA45" s="11"/>
      <c r="AB45" s="11"/>
      <c r="AC45" s="50"/>
      <c r="AD45" s="161"/>
      <c r="AE45" s="157"/>
      <c r="AF45" s="4"/>
      <c r="AG45" s="13">
        <f t="shared" si="5"/>
        <v>15.45</v>
      </c>
      <c r="AH45" s="87">
        <f t="shared" si="6"/>
        <v>16</v>
      </c>
      <c r="AI45" s="27">
        <f>AG45-AH45</f>
        <v>-0.55000000000000071</v>
      </c>
      <c r="AJ45" s="14">
        <f t="shared" si="7"/>
        <v>5.2465277777777784E-2</v>
      </c>
      <c r="AK45" s="32"/>
      <c r="AL45" s="51"/>
      <c r="AM45" s="3"/>
      <c r="AN45" s="55"/>
      <c r="AO45" s="11"/>
      <c r="AP45" s="55"/>
      <c r="AQ45" s="11"/>
      <c r="AR45" s="55"/>
      <c r="AS45" s="11"/>
      <c r="AT45" s="55"/>
      <c r="AU45" s="11"/>
      <c r="AV45" s="55"/>
      <c r="AW45" s="11"/>
      <c r="AX45" s="55"/>
      <c r="AY45" s="11"/>
      <c r="AZ45" s="55"/>
      <c r="BA45" s="11"/>
      <c r="BB45" s="55"/>
      <c r="BC45" s="11"/>
      <c r="BD45" s="55"/>
      <c r="BE45" s="11"/>
      <c r="BF45" s="37"/>
    </row>
    <row r="46" spans="1:58" x14ac:dyDescent="0.25">
      <c r="A46" s="56"/>
      <c r="B46" s="17" t="s">
        <v>18</v>
      </c>
      <c r="C46" s="85">
        <v>41727</v>
      </c>
      <c r="D46" s="19">
        <v>28</v>
      </c>
      <c r="E46" s="42">
        <v>21.22</v>
      </c>
      <c r="F46" s="21">
        <v>0.20694444444444446</v>
      </c>
      <c r="G46" s="22">
        <v>0.17083333333333331</v>
      </c>
      <c r="H46" s="160">
        <v>158</v>
      </c>
      <c r="I46" s="156">
        <v>163</v>
      </c>
      <c r="J46" s="172">
        <v>6.0439814814814814E-2</v>
      </c>
      <c r="K46" s="18"/>
      <c r="L46" s="20"/>
      <c r="M46" s="18"/>
      <c r="N46" s="20"/>
      <c r="O46" s="160"/>
      <c r="P46" s="156"/>
      <c r="Q46" s="18"/>
      <c r="R46" s="45"/>
      <c r="S46" s="84"/>
      <c r="T46" s="31"/>
      <c r="U46" s="42"/>
      <c r="V46" s="18"/>
      <c r="W46" s="20"/>
      <c r="X46" s="160"/>
      <c r="Y46" s="156"/>
      <c r="Z46" s="24"/>
      <c r="AA46" s="18"/>
      <c r="AB46" s="18"/>
      <c r="AC46" s="20"/>
      <c r="AD46" s="160"/>
      <c r="AE46" s="156"/>
      <c r="AF46" s="24"/>
      <c r="AG46" s="28">
        <f t="shared" si="5"/>
        <v>21.22</v>
      </c>
      <c r="AH46" s="88">
        <f t="shared" si="6"/>
        <v>28</v>
      </c>
      <c r="AI46" s="34">
        <f t="shared" si="2"/>
        <v>-6.7800000000000011</v>
      </c>
      <c r="AJ46" s="58">
        <f t="shared" si="7"/>
        <v>6.0439814814814814E-2</v>
      </c>
      <c r="AK46" s="33">
        <f>SUM(AG42:AG46)</f>
        <v>63.339999999999996</v>
      </c>
      <c r="AL46" s="21">
        <f>SUM(AJ42:AJ46)</f>
        <v>0.19950231481481481</v>
      </c>
      <c r="AM46" s="19"/>
      <c r="AN46" s="36"/>
      <c r="AO46" s="18"/>
      <c r="AP46" s="36"/>
      <c r="AQ46" s="18"/>
      <c r="AR46" s="36"/>
      <c r="AS46" s="18"/>
      <c r="AT46" s="36"/>
      <c r="AU46" s="18"/>
      <c r="AV46" s="36"/>
      <c r="AW46" s="18"/>
      <c r="AX46" s="36"/>
      <c r="AY46" s="18"/>
      <c r="AZ46" s="36"/>
      <c r="BA46" s="18"/>
      <c r="BB46" s="36"/>
      <c r="BC46" s="18"/>
      <c r="BD46" s="36"/>
      <c r="BE46" s="18"/>
      <c r="BF46" s="38"/>
    </row>
    <row r="47" spans="1:58" x14ac:dyDescent="0.25">
      <c r="A47" s="10"/>
      <c r="B47" s="1" t="s">
        <v>0</v>
      </c>
      <c r="C47" s="81">
        <v>41729</v>
      </c>
      <c r="D47" s="3">
        <v>10</v>
      </c>
      <c r="E47" s="54">
        <v>10.32</v>
      </c>
      <c r="F47" s="51"/>
      <c r="G47" s="52">
        <v>0.19930555555555554</v>
      </c>
      <c r="H47" s="161"/>
      <c r="I47" s="157"/>
      <c r="J47" s="171">
        <v>3.4305555555555554E-2</v>
      </c>
      <c r="K47" s="11"/>
      <c r="L47" s="50"/>
      <c r="M47" s="51"/>
      <c r="N47" s="52"/>
      <c r="O47" s="161"/>
      <c r="P47" s="157"/>
      <c r="Q47" s="26"/>
      <c r="R47" s="44"/>
      <c r="S47" s="26"/>
      <c r="T47" s="53"/>
      <c r="U47" s="54"/>
      <c r="V47" s="11"/>
      <c r="W47" s="50"/>
      <c r="X47" s="161"/>
      <c r="Y47" s="157"/>
      <c r="Z47" s="4"/>
      <c r="AA47" s="11"/>
      <c r="AB47" s="11"/>
      <c r="AC47" s="52"/>
      <c r="AD47" s="161"/>
      <c r="AE47" s="157"/>
      <c r="AF47" s="15"/>
      <c r="AG47" s="13">
        <f t="shared" si="5"/>
        <v>10.32</v>
      </c>
      <c r="AH47" s="87">
        <f t="shared" si="6"/>
        <v>10</v>
      </c>
      <c r="AI47" s="27">
        <f t="shared" si="2"/>
        <v>0.32000000000000028</v>
      </c>
      <c r="AJ47" s="14">
        <f t="shared" si="7"/>
        <v>3.4305555555555554E-2</v>
      </c>
      <c r="AK47" s="32"/>
      <c r="AL47" s="51"/>
      <c r="AM47" s="3">
        <v>75.900000000000006</v>
      </c>
      <c r="AN47" s="9">
        <f>$AM$2-AM47</f>
        <v>1.1999999999999886</v>
      </c>
      <c r="AP47" s="9">
        <f>$AO$2-AO47</f>
        <v>85</v>
      </c>
      <c r="AR47" s="9">
        <f>$AQ$2-AQ47</f>
        <v>91</v>
      </c>
      <c r="AT47" s="9">
        <f>$AS$2-AS47</f>
        <v>97</v>
      </c>
      <c r="AU47"/>
      <c r="AV47" s="9">
        <f>$AU$2-AU47</f>
        <v>56</v>
      </c>
      <c r="AX47" s="9">
        <f>$AW$2-AW47</f>
        <v>56</v>
      </c>
      <c r="AY47"/>
      <c r="AZ47" s="9">
        <f>$AY$2-AY47</f>
        <v>39</v>
      </c>
      <c r="BA47"/>
      <c r="BB47" s="9">
        <f>$BA$2-BA47</f>
        <v>39</v>
      </c>
      <c r="BC47"/>
      <c r="BD47" s="9">
        <f>$BC$2-BC47</f>
        <v>27</v>
      </c>
      <c r="BF47" s="37">
        <f>$BE$2-BE47</f>
        <v>27</v>
      </c>
    </row>
    <row r="48" spans="1:58" x14ac:dyDescent="0.25">
      <c r="A48" s="10"/>
      <c r="B48" s="1" t="s">
        <v>24</v>
      </c>
      <c r="C48" s="81">
        <v>41730</v>
      </c>
      <c r="D48" s="3"/>
      <c r="E48" s="54"/>
      <c r="F48" s="51"/>
      <c r="G48" s="52"/>
      <c r="H48" s="161"/>
      <c r="I48" s="157"/>
      <c r="J48" s="171"/>
      <c r="K48" s="11">
        <v>6</v>
      </c>
      <c r="L48" s="50">
        <v>6.1</v>
      </c>
      <c r="M48" s="51"/>
      <c r="N48" s="52">
        <v>0.20138888888888887</v>
      </c>
      <c r="O48" s="161">
        <v>144</v>
      </c>
      <c r="P48" s="157">
        <v>149</v>
      </c>
      <c r="Q48" s="26">
        <v>2.0474537037037038E-2</v>
      </c>
      <c r="R48" s="44"/>
      <c r="S48" s="26"/>
      <c r="T48" s="53"/>
      <c r="U48" s="54"/>
      <c r="V48" s="11"/>
      <c r="W48" s="50"/>
      <c r="X48" s="161"/>
      <c r="Y48" s="157"/>
      <c r="Z48" s="4"/>
      <c r="AA48" s="11">
        <v>9</v>
      </c>
      <c r="AB48" s="51">
        <v>0.16388888888888889</v>
      </c>
      <c r="AC48" s="52">
        <v>0.17013888888888887</v>
      </c>
      <c r="AD48" s="161">
        <v>171</v>
      </c>
      <c r="AE48" s="157">
        <v>162</v>
      </c>
      <c r="AF48" s="26">
        <v>2.5590277777777778E-2</v>
      </c>
      <c r="AG48" s="61">
        <f t="shared" si="5"/>
        <v>15.1</v>
      </c>
      <c r="AH48" s="87">
        <f t="shared" si="6"/>
        <v>15</v>
      </c>
      <c r="AI48" s="27">
        <f t="shared" si="2"/>
        <v>9.9999999999999645E-2</v>
      </c>
      <c r="AJ48" s="14">
        <f t="shared" si="7"/>
        <v>4.6064814814814815E-2</v>
      </c>
      <c r="AK48" s="32"/>
      <c r="AL48" s="51"/>
      <c r="AM48" s="3"/>
      <c r="AU48"/>
      <c r="AY48"/>
      <c r="BA48"/>
      <c r="BC48"/>
      <c r="BF48" s="37"/>
    </row>
    <row r="49" spans="1:58" x14ac:dyDescent="0.25">
      <c r="A49" s="10">
        <v>14</v>
      </c>
      <c r="B49" s="1" t="s">
        <v>26</v>
      </c>
      <c r="C49" s="81">
        <v>41732</v>
      </c>
      <c r="D49" s="3">
        <v>16</v>
      </c>
      <c r="E49" s="54">
        <v>16.2</v>
      </c>
      <c r="F49" s="51">
        <v>0.20694444444444446</v>
      </c>
      <c r="G49" s="52">
        <v>0.1875</v>
      </c>
      <c r="H49" s="161">
        <v>144</v>
      </c>
      <c r="I49" s="157">
        <v>157</v>
      </c>
      <c r="J49" s="171">
        <v>5.063657407407407E-2</v>
      </c>
      <c r="K49" s="11"/>
      <c r="L49" s="50"/>
      <c r="M49" s="51"/>
      <c r="N49" s="52"/>
      <c r="O49" s="161"/>
      <c r="P49" s="157"/>
      <c r="Q49" s="26"/>
      <c r="R49" s="44"/>
      <c r="S49" s="26"/>
      <c r="T49" s="53"/>
      <c r="U49" s="54"/>
      <c r="V49" s="11"/>
      <c r="W49" s="50"/>
      <c r="X49" s="161"/>
      <c r="Y49" s="157"/>
      <c r="Z49" s="4"/>
      <c r="AA49" s="11"/>
      <c r="AB49" s="11"/>
      <c r="AC49" s="52"/>
      <c r="AD49" s="161"/>
      <c r="AE49" s="157"/>
      <c r="AF49" s="26"/>
      <c r="AG49" s="61">
        <f t="shared" si="5"/>
        <v>16.2</v>
      </c>
      <c r="AH49" s="87">
        <f t="shared" si="6"/>
        <v>16</v>
      </c>
      <c r="AI49" s="27">
        <f t="shared" si="2"/>
        <v>0.19999999999999929</v>
      </c>
      <c r="AJ49" s="14">
        <f t="shared" si="7"/>
        <v>5.063657407407407E-2</v>
      </c>
      <c r="AK49" s="32"/>
      <c r="AL49" s="51"/>
      <c r="AM49" s="3"/>
      <c r="AN49" s="55"/>
      <c r="AO49" s="11"/>
      <c r="AP49" s="55"/>
      <c r="AQ49" s="11"/>
      <c r="AR49" s="55"/>
      <c r="AS49" s="11"/>
      <c r="AT49" s="55"/>
      <c r="AU49" s="11"/>
      <c r="AV49" s="55"/>
      <c r="AW49" s="11"/>
      <c r="AX49" s="55"/>
      <c r="AY49" s="11"/>
      <c r="AZ49" s="55"/>
      <c r="BA49" s="11"/>
      <c r="BB49" s="55"/>
      <c r="BC49" s="11"/>
      <c r="BD49" s="55"/>
      <c r="BE49" s="11"/>
      <c r="BF49" s="37"/>
    </row>
    <row r="50" spans="1:58" x14ac:dyDescent="0.25">
      <c r="A50" s="10"/>
      <c r="B50" s="1" t="s">
        <v>29</v>
      </c>
      <c r="C50" s="81">
        <v>41733</v>
      </c>
      <c r="D50" s="3"/>
      <c r="E50" s="54"/>
      <c r="F50" s="51"/>
      <c r="G50" s="52"/>
      <c r="H50" s="161"/>
      <c r="I50" s="157"/>
      <c r="J50" s="171"/>
      <c r="K50" s="11">
        <v>5</v>
      </c>
      <c r="L50" s="50">
        <v>5.27</v>
      </c>
      <c r="M50" s="51"/>
      <c r="N50" s="52">
        <v>0.19305555555555554</v>
      </c>
      <c r="O50" s="161"/>
      <c r="P50" s="157"/>
      <c r="Q50" s="26">
        <v>1.7025462962962961E-2</v>
      </c>
      <c r="R50" s="44"/>
      <c r="S50" s="26"/>
      <c r="T50" s="53"/>
      <c r="U50" s="54"/>
      <c r="V50" s="11"/>
      <c r="W50" s="50"/>
      <c r="X50" s="161"/>
      <c r="Y50" s="157"/>
      <c r="Z50" s="4"/>
      <c r="AA50" s="11">
        <v>4</v>
      </c>
      <c r="AB50" s="11"/>
      <c r="AC50" s="52">
        <v>0.17013888888888887</v>
      </c>
      <c r="AD50" s="161">
        <v>184</v>
      </c>
      <c r="AE50" s="157">
        <v>168</v>
      </c>
      <c r="AF50" s="26">
        <v>1.1354166666666667E-2</v>
      </c>
      <c r="AG50" s="61">
        <f t="shared" si="5"/>
        <v>9.27</v>
      </c>
      <c r="AH50" s="87">
        <f t="shared" si="6"/>
        <v>9</v>
      </c>
      <c r="AI50" s="27">
        <f>AG50-AH50</f>
        <v>0.26999999999999957</v>
      </c>
      <c r="AJ50" s="14">
        <f t="shared" si="7"/>
        <v>2.837962962962963E-2</v>
      </c>
      <c r="AK50" s="32"/>
      <c r="AL50" s="51"/>
      <c r="AM50" s="3"/>
      <c r="AN50" s="55"/>
      <c r="AO50" s="11"/>
      <c r="AP50" s="55"/>
      <c r="AQ50" s="11"/>
      <c r="AR50" s="55"/>
      <c r="AS50" s="11"/>
      <c r="AT50" s="55"/>
      <c r="AU50" s="11"/>
      <c r="AV50" s="55"/>
      <c r="AW50" s="11"/>
      <c r="AX50" s="55"/>
      <c r="AY50" s="11"/>
      <c r="AZ50" s="55"/>
      <c r="BA50" s="11"/>
      <c r="BB50" s="55"/>
      <c r="BC50" s="11"/>
      <c r="BD50" s="55"/>
      <c r="BE50" s="11"/>
      <c r="BF50" s="37"/>
    </row>
    <row r="51" spans="1:58" x14ac:dyDescent="0.25">
      <c r="A51" s="56"/>
      <c r="B51" s="17" t="s">
        <v>27</v>
      </c>
      <c r="C51" s="85">
        <v>41735</v>
      </c>
      <c r="D51" s="19">
        <v>28</v>
      </c>
      <c r="E51" s="42">
        <v>41.35</v>
      </c>
      <c r="F51" s="21">
        <v>0.20694444444444446</v>
      </c>
      <c r="G51" s="22">
        <v>0.19722222222222222</v>
      </c>
      <c r="H51" s="160">
        <v>158</v>
      </c>
      <c r="I51" s="156">
        <v>153</v>
      </c>
      <c r="J51" s="172">
        <v>0.13590277777777779</v>
      </c>
      <c r="K51" s="18"/>
      <c r="L51" s="20"/>
      <c r="M51" s="18"/>
      <c r="N51" s="20"/>
      <c r="O51" s="160"/>
      <c r="P51" s="156"/>
      <c r="Q51" s="18"/>
      <c r="R51" s="45"/>
      <c r="S51" s="84"/>
      <c r="T51" s="31"/>
      <c r="U51" s="42"/>
      <c r="V51" s="18"/>
      <c r="W51" s="20"/>
      <c r="X51" s="160"/>
      <c r="Y51" s="156"/>
      <c r="Z51" s="24"/>
      <c r="AA51" s="18"/>
      <c r="AB51" s="18"/>
      <c r="AC51" s="20"/>
      <c r="AD51" s="160"/>
      <c r="AE51" s="156"/>
      <c r="AF51" s="24"/>
      <c r="AG51" s="28">
        <f t="shared" si="5"/>
        <v>41.35</v>
      </c>
      <c r="AH51" s="88">
        <f t="shared" si="6"/>
        <v>28</v>
      </c>
      <c r="AI51" s="34">
        <f t="shared" si="2"/>
        <v>13.350000000000001</v>
      </c>
      <c r="AJ51" s="58">
        <f t="shared" si="7"/>
        <v>0.13590277777777779</v>
      </c>
      <c r="AK51" s="33">
        <f>SUM(AG47:AG51)</f>
        <v>92.240000000000009</v>
      </c>
      <c r="AL51" s="21">
        <f>SUM(AJ47:AJ51)</f>
        <v>0.2952893518518519</v>
      </c>
      <c r="AM51" s="19"/>
      <c r="AN51" s="36"/>
      <c r="AO51" s="18"/>
      <c r="AP51" s="36"/>
      <c r="AQ51" s="18"/>
      <c r="AR51" s="36"/>
      <c r="AS51" s="18"/>
      <c r="AT51" s="36"/>
      <c r="AU51" s="18"/>
      <c r="AV51" s="36"/>
      <c r="AW51" s="18"/>
      <c r="AX51" s="36"/>
      <c r="AY51" s="18"/>
      <c r="AZ51" s="36"/>
      <c r="BA51" s="18"/>
      <c r="BB51" s="36"/>
      <c r="BC51" s="18"/>
      <c r="BD51" s="36"/>
      <c r="BE51" s="18"/>
      <c r="BF51" s="38"/>
    </row>
    <row r="52" spans="1:58" x14ac:dyDescent="0.25">
      <c r="A52" s="10"/>
      <c r="B52" s="1" t="s">
        <v>0</v>
      </c>
      <c r="C52" s="81">
        <v>41736</v>
      </c>
      <c r="D52" s="3">
        <v>10</v>
      </c>
      <c r="E52" s="54">
        <v>10.119999999999999</v>
      </c>
      <c r="F52" s="51"/>
      <c r="G52" s="52">
        <v>0.20555555555555557</v>
      </c>
      <c r="H52" s="161">
        <v>130</v>
      </c>
      <c r="I52" s="157">
        <v>142</v>
      </c>
      <c r="J52" s="171">
        <v>3.4629629629629628E-2</v>
      </c>
      <c r="K52" s="11"/>
      <c r="L52" s="50"/>
      <c r="M52" s="51"/>
      <c r="N52" s="52"/>
      <c r="O52" s="161"/>
      <c r="P52" s="157"/>
      <c r="Q52" s="26"/>
      <c r="R52" s="44"/>
      <c r="S52" s="26"/>
      <c r="T52" s="53"/>
      <c r="U52" s="54"/>
      <c r="V52" s="11"/>
      <c r="W52" s="50"/>
      <c r="X52" s="161"/>
      <c r="Y52" s="157"/>
      <c r="Z52" s="4"/>
      <c r="AA52" s="11"/>
      <c r="AB52" s="11"/>
      <c r="AC52" s="52"/>
      <c r="AD52" s="161"/>
      <c r="AE52" s="157"/>
      <c r="AF52" s="15"/>
      <c r="AG52" s="13">
        <f t="shared" si="5"/>
        <v>10.119999999999999</v>
      </c>
      <c r="AH52" s="87">
        <f t="shared" si="6"/>
        <v>10</v>
      </c>
      <c r="AI52" s="27">
        <f t="shared" si="2"/>
        <v>0.11999999999999922</v>
      </c>
      <c r="AJ52" s="14">
        <f t="shared" si="7"/>
        <v>3.4629629629629628E-2</v>
      </c>
      <c r="AK52" s="32"/>
      <c r="AL52" s="51"/>
      <c r="AM52" s="3">
        <v>75.900000000000006</v>
      </c>
      <c r="AN52" s="9">
        <f>$AM$2-AM52</f>
        <v>1.1999999999999886</v>
      </c>
      <c r="AP52" s="9">
        <f>$AO$2-AO52</f>
        <v>85</v>
      </c>
      <c r="AR52" s="9">
        <f>$AQ$2-AQ52</f>
        <v>91</v>
      </c>
      <c r="AT52" s="9">
        <f>$AS$2-AS52</f>
        <v>97</v>
      </c>
      <c r="AU52"/>
      <c r="AV52" s="9">
        <f>$AU$2-AU52</f>
        <v>56</v>
      </c>
      <c r="AX52" s="9">
        <f>$AW$2-AW52</f>
        <v>56</v>
      </c>
      <c r="AY52"/>
      <c r="AZ52" s="9">
        <f>$AY$2-AY52</f>
        <v>39</v>
      </c>
      <c r="BA52"/>
      <c r="BB52" s="9">
        <f>$BA$2-BA52</f>
        <v>39</v>
      </c>
      <c r="BC52"/>
      <c r="BD52" s="9">
        <f>$BC$2-BC52</f>
        <v>27</v>
      </c>
      <c r="BF52" s="37">
        <f>$BE$2-BE52</f>
        <v>27</v>
      </c>
    </row>
    <row r="53" spans="1:58" x14ac:dyDescent="0.25">
      <c r="A53" s="10"/>
      <c r="B53" s="1" t="s">
        <v>24</v>
      </c>
      <c r="C53" s="81">
        <v>41737</v>
      </c>
      <c r="D53" s="3"/>
      <c r="E53" s="54"/>
      <c r="F53" s="51"/>
      <c r="G53" s="52"/>
      <c r="H53" s="161"/>
      <c r="I53" s="157"/>
      <c r="J53" s="171"/>
      <c r="K53" s="11">
        <v>6</v>
      </c>
      <c r="L53" s="50">
        <v>6.01</v>
      </c>
      <c r="M53" s="11"/>
      <c r="N53" s="52">
        <v>0.20277777777777781</v>
      </c>
      <c r="O53" s="161">
        <v>144</v>
      </c>
      <c r="P53" s="157"/>
      <c r="Q53" s="26">
        <v>2.0231481481481482E-2</v>
      </c>
      <c r="R53" s="44"/>
      <c r="S53" s="26"/>
      <c r="T53" s="53"/>
      <c r="U53" s="54"/>
      <c r="V53" s="11"/>
      <c r="W53" s="50"/>
      <c r="X53" s="161"/>
      <c r="Y53" s="157"/>
      <c r="Z53" s="4"/>
      <c r="AA53" s="11">
        <v>7</v>
      </c>
      <c r="AB53" s="51">
        <v>0.16388888888888889</v>
      </c>
      <c r="AC53" s="52">
        <v>0.16250000000000001</v>
      </c>
      <c r="AD53" s="161">
        <v>171</v>
      </c>
      <c r="AE53" s="157"/>
      <c r="AF53" s="15">
        <v>1.8969907407407408E-2</v>
      </c>
      <c r="AG53" s="13">
        <f t="shared" si="5"/>
        <v>13.01</v>
      </c>
      <c r="AH53" s="87">
        <f t="shared" si="6"/>
        <v>13</v>
      </c>
      <c r="AI53" s="27">
        <f t="shared" si="2"/>
        <v>9.9999999999997868E-3</v>
      </c>
      <c r="AJ53" s="14">
        <f t="shared" si="7"/>
        <v>3.920138888888889E-2</v>
      </c>
      <c r="AK53" s="32"/>
      <c r="AL53" s="51"/>
      <c r="AM53" s="3"/>
      <c r="AU53"/>
      <c r="AY53"/>
      <c r="BA53"/>
      <c r="BC53"/>
      <c r="BF53" s="37"/>
    </row>
    <row r="54" spans="1:58" x14ac:dyDescent="0.25">
      <c r="A54" s="10">
        <v>15</v>
      </c>
      <c r="B54" s="1" t="s">
        <v>15</v>
      </c>
      <c r="C54" s="81">
        <v>41738</v>
      </c>
      <c r="D54" s="3">
        <v>10</v>
      </c>
      <c r="E54" s="54">
        <v>10.33</v>
      </c>
      <c r="F54" s="51">
        <v>0.20694444444444446</v>
      </c>
      <c r="G54" s="52">
        <v>0.19930555555555554</v>
      </c>
      <c r="H54" s="161">
        <v>144</v>
      </c>
      <c r="I54" s="157">
        <v>144</v>
      </c>
      <c r="J54" s="171">
        <v>3.4340277777777782E-2</v>
      </c>
      <c r="K54" s="11"/>
      <c r="L54" s="52"/>
      <c r="M54" s="51"/>
      <c r="N54" s="52"/>
      <c r="O54" s="161"/>
      <c r="P54" s="157"/>
      <c r="Q54" s="26"/>
      <c r="R54" s="44"/>
      <c r="S54" s="26"/>
      <c r="T54" s="53"/>
      <c r="U54" s="54"/>
      <c r="V54" s="11"/>
      <c r="W54" s="50"/>
      <c r="X54" s="161"/>
      <c r="Y54" s="157"/>
      <c r="Z54" s="4"/>
      <c r="AA54" s="11"/>
      <c r="AB54" s="11"/>
      <c r="AC54" s="52"/>
      <c r="AD54" s="161"/>
      <c r="AE54" s="157"/>
      <c r="AF54" s="15"/>
      <c r="AG54" s="13">
        <f t="shared" si="5"/>
        <v>10.33</v>
      </c>
      <c r="AH54" s="87">
        <f t="shared" si="6"/>
        <v>10</v>
      </c>
      <c r="AI54" s="27">
        <f t="shared" si="2"/>
        <v>0.33000000000000007</v>
      </c>
      <c r="AJ54" s="14">
        <f t="shared" si="7"/>
        <v>3.4340277777777782E-2</v>
      </c>
      <c r="AK54" s="32"/>
      <c r="AL54" s="51"/>
      <c r="AM54" s="3"/>
      <c r="AN54" s="55"/>
      <c r="AO54" s="11"/>
      <c r="AP54" s="55"/>
      <c r="AQ54" s="11"/>
      <c r="AR54" s="55"/>
      <c r="AS54" s="11"/>
      <c r="AT54" s="55"/>
      <c r="AU54" s="11"/>
      <c r="AV54" s="55"/>
      <c r="AW54" s="11"/>
      <c r="AX54" s="55"/>
      <c r="AY54" s="11"/>
      <c r="AZ54" s="55"/>
      <c r="BA54" s="11"/>
      <c r="BB54" s="55"/>
      <c r="BC54" s="11"/>
      <c r="BD54" s="55"/>
      <c r="BE54" s="11"/>
      <c r="BF54" s="37"/>
    </row>
    <row r="55" spans="1:58" x14ac:dyDescent="0.25">
      <c r="A55" s="10"/>
      <c r="B55" s="1" t="s">
        <v>29</v>
      </c>
      <c r="C55" s="176">
        <v>41740</v>
      </c>
      <c r="D55" s="11">
        <v>17</v>
      </c>
      <c r="E55" s="54">
        <v>17.11</v>
      </c>
      <c r="F55" s="51">
        <v>0.20694444444444446</v>
      </c>
      <c r="G55" s="52">
        <v>0.18472222222222223</v>
      </c>
      <c r="H55" s="161">
        <v>144</v>
      </c>
      <c r="I55" s="157">
        <v>156</v>
      </c>
      <c r="J55" s="171">
        <v>5.2719907407407403E-2</v>
      </c>
      <c r="K55" s="11"/>
      <c r="L55" s="52"/>
      <c r="M55" s="51"/>
      <c r="N55" s="52"/>
      <c r="O55" s="161"/>
      <c r="P55" s="157"/>
      <c r="Q55" s="26"/>
      <c r="R55" s="44"/>
      <c r="S55" s="26"/>
      <c r="T55" s="53"/>
      <c r="U55" s="54"/>
      <c r="V55" s="11"/>
      <c r="W55" s="50"/>
      <c r="X55" s="161"/>
      <c r="Y55" s="157"/>
      <c r="Z55" s="4"/>
      <c r="AA55" s="11"/>
      <c r="AB55" s="11"/>
      <c r="AC55" s="52"/>
      <c r="AD55" s="161"/>
      <c r="AE55" s="157"/>
      <c r="AF55" s="15"/>
      <c r="AG55" s="13">
        <f t="shared" si="5"/>
        <v>17.11</v>
      </c>
      <c r="AH55" s="87">
        <f t="shared" si="6"/>
        <v>17</v>
      </c>
      <c r="AI55" s="27">
        <f>AG55-AH55</f>
        <v>0.10999999999999943</v>
      </c>
      <c r="AJ55" s="14">
        <f t="shared" si="7"/>
        <v>5.2719907407407403E-2</v>
      </c>
      <c r="AK55" s="32"/>
      <c r="AL55" s="51"/>
      <c r="AM55" s="3"/>
      <c r="AN55" s="55"/>
      <c r="AO55" s="11"/>
      <c r="AP55" s="55"/>
      <c r="AQ55" s="11"/>
      <c r="AR55" s="55"/>
      <c r="AS55" s="11"/>
      <c r="AT55" s="55"/>
      <c r="AU55" s="11"/>
      <c r="AV55" s="55"/>
      <c r="AW55" s="11"/>
      <c r="AX55" s="55"/>
      <c r="AY55" s="11"/>
      <c r="AZ55" s="55"/>
      <c r="BA55" s="11"/>
      <c r="BB55" s="55"/>
      <c r="BC55" s="11"/>
      <c r="BD55" s="55"/>
      <c r="BE55" s="11"/>
      <c r="BF55" s="37"/>
    </row>
    <row r="56" spans="1:58" x14ac:dyDescent="0.25">
      <c r="A56" s="56"/>
      <c r="B56" s="17" t="s">
        <v>27</v>
      </c>
      <c r="C56" s="85">
        <v>41742</v>
      </c>
      <c r="D56" s="19">
        <v>30</v>
      </c>
      <c r="E56" s="42">
        <v>30.01</v>
      </c>
      <c r="F56" s="21">
        <v>0.20694444444444446</v>
      </c>
      <c r="G56" s="22">
        <v>0.20416666666666669</v>
      </c>
      <c r="H56" s="160">
        <v>158</v>
      </c>
      <c r="I56" s="156">
        <v>145</v>
      </c>
      <c r="J56" s="172">
        <v>0.10211805555555555</v>
      </c>
      <c r="K56" s="18"/>
      <c r="L56" s="20"/>
      <c r="M56" s="18"/>
      <c r="N56" s="20"/>
      <c r="O56" s="160"/>
      <c r="P56" s="156"/>
      <c r="Q56" s="18"/>
      <c r="R56" s="45"/>
      <c r="S56" s="84"/>
      <c r="T56" s="31"/>
      <c r="U56" s="42"/>
      <c r="V56" s="18"/>
      <c r="W56" s="20"/>
      <c r="X56" s="160"/>
      <c r="Y56" s="156"/>
      <c r="Z56" s="24"/>
      <c r="AA56" s="18"/>
      <c r="AB56" s="18"/>
      <c r="AC56" s="20"/>
      <c r="AD56" s="160"/>
      <c r="AE56" s="156"/>
      <c r="AF56" s="24"/>
      <c r="AG56" s="28">
        <f t="shared" si="5"/>
        <v>30.01</v>
      </c>
      <c r="AH56" s="88">
        <f t="shared" si="6"/>
        <v>30</v>
      </c>
      <c r="AI56" s="34">
        <f t="shared" si="2"/>
        <v>1.0000000000001563E-2</v>
      </c>
      <c r="AJ56" s="58">
        <f t="shared" si="7"/>
        <v>0.10211805555555555</v>
      </c>
      <c r="AK56" s="33">
        <f>SUM(AG52:AG56)</f>
        <v>80.58</v>
      </c>
      <c r="AL56" s="21">
        <f>SUM(AJ52:AJ56)</f>
        <v>0.26300925925925922</v>
      </c>
      <c r="AM56" s="19"/>
      <c r="AN56" s="36"/>
      <c r="AO56" s="18"/>
      <c r="AP56" s="36"/>
      <c r="AQ56" s="18"/>
      <c r="AR56" s="36"/>
      <c r="AS56" s="18"/>
      <c r="AT56" s="36"/>
      <c r="AU56" s="18"/>
      <c r="AV56" s="36"/>
      <c r="AW56" s="18"/>
      <c r="AX56" s="36"/>
      <c r="AY56" s="18"/>
      <c r="AZ56" s="36"/>
      <c r="BA56" s="18"/>
      <c r="BB56" s="36"/>
      <c r="BC56" s="18"/>
      <c r="BD56" s="36"/>
      <c r="BE56" s="18"/>
      <c r="BF56" s="38"/>
    </row>
    <row r="57" spans="1:58" x14ac:dyDescent="0.25">
      <c r="A57" s="10"/>
      <c r="B57" s="1" t="s">
        <v>0</v>
      </c>
      <c r="C57" s="81">
        <v>41743</v>
      </c>
      <c r="D57" s="3">
        <v>8</v>
      </c>
      <c r="E57" s="54">
        <v>8.73</v>
      </c>
      <c r="F57" s="2"/>
      <c r="G57" s="52">
        <v>0.20486111111111113</v>
      </c>
      <c r="H57" s="161">
        <v>130</v>
      </c>
      <c r="I57" s="157">
        <v>137</v>
      </c>
      <c r="J57" s="171">
        <v>2.9849537037037036E-2</v>
      </c>
      <c r="K57" s="11"/>
      <c r="L57" s="50"/>
      <c r="M57" s="11"/>
      <c r="N57" s="50"/>
      <c r="O57" s="161"/>
      <c r="P57" s="157"/>
      <c r="Q57" s="11"/>
      <c r="R57" s="44"/>
      <c r="S57" s="26"/>
      <c r="T57" s="53"/>
      <c r="U57" s="54"/>
      <c r="V57" s="11"/>
      <c r="W57" s="50"/>
      <c r="X57" s="161"/>
      <c r="Y57" s="157"/>
      <c r="Z57" s="4"/>
      <c r="AA57" s="11"/>
      <c r="AB57" s="11"/>
      <c r="AC57" s="50"/>
      <c r="AD57" s="161"/>
      <c r="AE57" s="157"/>
      <c r="AF57" s="4"/>
      <c r="AG57" s="13">
        <f t="shared" si="5"/>
        <v>8.73</v>
      </c>
      <c r="AH57" s="87">
        <f t="shared" si="6"/>
        <v>8</v>
      </c>
      <c r="AI57" s="27">
        <f t="shared" si="2"/>
        <v>0.73000000000000043</v>
      </c>
      <c r="AJ57" s="14">
        <f t="shared" si="7"/>
        <v>2.9849537037037036E-2</v>
      </c>
      <c r="AK57" s="32"/>
      <c r="AL57" s="51"/>
      <c r="AM57" s="3">
        <v>76.5</v>
      </c>
      <c r="AN57" s="9">
        <f>$AM$2-AM57</f>
        <v>0.59999999999999432</v>
      </c>
      <c r="AP57" s="9">
        <f>$AO$2-AO57</f>
        <v>85</v>
      </c>
      <c r="AR57" s="9">
        <f>$AQ$2-AQ57</f>
        <v>91</v>
      </c>
      <c r="AT57" s="9">
        <f>$AS$2-AS57</f>
        <v>97</v>
      </c>
      <c r="AU57"/>
      <c r="AV57" s="9">
        <f>$AU$2-AU57</f>
        <v>56</v>
      </c>
      <c r="AX57" s="9">
        <f>$AW$2-AW57</f>
        <v>56</v>
      </c>
      <c r="AY57"/>
      <c r="AZ57" s="9">
        <f>$AY$2-AY57</f>
        <v>39</v>
      </c>
      <c r="BA57"/>
      <c r="BB57" s="9">
        <f>$BA$2-BA57</f>
        <v>39</v>
      </c>
      <c r="BC57"/>
      <c r="BD57" s="9">
        <f>$BC$2-BC57</f>
        <v>27</v>
      </c>
      <c r="BF57" s="37">
        <f>$BE$2-BE57</f>
        <v>27</v>
      </c>
    </row>
    <row r="58" spans="1:58" x14ac:dyDescent="0.25">
      <c r="A58" s="10"/>
      <c r="B58" s="1" t="s">
        <v>15</v>
      </c>
      <c r="C58" s="81">
        <v>41745</v>
      </c>
      <c r="D58" s="3"/>
      <c r="E58" s="54"/>
      <c r="F58" s="2"/>
      <c r="G58" s="52"/>
      <c r="H58" s="161"/>
      <c r="I58" s="157"/>
      <c r="J58" s="171"/>
      <c r="K58" s="11">
        <v>3</v>
      </c>
      <c r="L58" s="50">
        <v>3.28</v>
      </c>
      <c r="M58" s="51"/>
      <c r="N58" s="52">
        <v>0.20416666666666669</v>
      </c>
      <c r="O58" s="161">
        <v>144</v>
      </c>
      <c r="P58" s="157">
        <v>146</v>
      </c>
      <c r="Q58" s="26">
        <v>1.1215277777777777E-2</v>
      </c>
      <c r="R58" s="44"/>
      <c r="S58" s="26"/>
      <c r="T58" s="53"/>
      <c r="U58" s="54"/>
      <c r="V58" s="11"/>
      <c r="W58" s="50"/>
      <c r="X58" s="161"/>
      <c r="Y58" s="157"/>
      <c r="Z58" s="4"/>
      <c r="AA58" s="11">
        <v>10</v>
      </c>
      <c r="AB58" s="51"/>
      <c r="AC58" s="52">
        <v>0.16250000000000001</v>
      </c>
      <c r="AD58" s="161">
        <v>185</v>
      </c>
      <c r="AE58" s="157">
        <v>163</v>
      </c>
      <c r="AF58" s="15">
        <v>2.7118055555555552E-2</v>
      </c>
      <c r="AG58" s="13">
        <f t="shared" si="5"/>
        <v>13.28</v>
      </c>
      <c r="AH58" s="87">
        <f t="shared" si="6"/>
        <v>13</v>
      </c>
      <c r="AI58" s="27">
        <f t="shared" si="2"/>
        <v>0.27999999999999936</v>
      </c>
      <c r="AJ58" s="14">
        <f t="shared" si="7"/>
        <v>3.833333333333333E-2</v>
      </c>
      <c r="AK58" s="32"/>
      <c r="AL58" s="51"/>
      <c r="AM58" s="3"/>
      <c r="AU58"/>
      <c r="AY58"/>
      <c r="BA58"/>
      <c r="BC58"/>
      <c r="BF58" s="37"/>
    </row>
    <row r="59" spans="1:58" x14ac:dyDescent="0.25">
      <c r="A59" s="10">
        <v>16</v>
      </c>
      <c r="B59" s="1" t="s">
        <v>26</v>
      </c>
      <c r="C59" s="81">
        <v>41746</v>
      </c>
      <c r="D59" s="3">
        <v>8</v>
      </c>
      <c r="E59" s="54">
        <v>8.57</v>
      </c>
      <c r="F59" s="51">
        <v>0.20694444444444446</v>
      </c>
      <c r="G59" s="52">
        <v>0.20069444444444443</v>
      </c>
      <c r="H59" s="161">
        <v>144</v>
      </c>
      <c r="I59" s="157">
        <v>144</v>
      </c>
      <c r="J59" s="171">
        <v>2.8622685185185185E-2</v>
      </c>
      <c r="K59" s="11"/>
      <c r="L59" s="50"/>
      <c r="M59" s="2"/>
      <c r="N59" s="52"/>
      <c r="O59" s="161"/>
      <c r="P59" s="157"/>
      <c r="Q59" s="26"/>
      <c r="R59" s="44"/>
      <c r="S59" s="26"/>
      <c r="T59" s="53"/>
      <c r="U59" s="54"/>
      <c r="V59" s="51"/>
      <c r="W59" s="52"/>
      <c r="X59" s="161"/>
      <c r="Y59" s="157"/>
      <c r="Z59" s="15"/>
      <c r="AA59" s="11"/>
      <c r="AB59" s="11"/>
      <c r="AC59" s="50"/>
      <c r="AD59" s="161"/>
      <c r="AE59" s="157"/>
      <c r="AF59" s="4"/>
      <c r="AG59" s="13">
        <f t="shared" si="5"/>
        <v>8.57</v>
      </c>
      <c r="AH59" s="87">
        <f t="shared" si="6"/>
        <v>8</v>
      </c>
      <c r="AI59" s="27">
        <f t="shared" si="2"/>
        <v>0.57000000000000028</v>
      </c>
      <c r="AJ59" s="14">
        <f t="shared" si="7"/>
        <v>2.8622685185185185E-2</v>
      </c>
      <c r="AK59" s="32"/>
      <c r="AL59" s="51"/>
      <c r="AM59" s="3"/>
      <c r="AN59" s="55"/>
      <c r="AO59" s="11"/>
      <c r="AP59" s="55"/>
      <c r="AQ59" s="11"/>
      <c r="AR59" s="55"/>
      <c r="AS59" s="11"/>
      <c r="AT59" s="55"/>
      <c r="AU59" s="11"/>
      <c r="AV59" s="55"/>
      <c r="AW59" s="11"/>
      <c r="AX59" s="55"/>
      <c r="AY59" s="11"/>
      <c r="AZ59" s="55"/>
      <c r="BA59" s="11"/>
      <c r="BB59" s="55"/>
      <c r="BC59" s="11"/>
      <c r="BD59" s="55"/>
      <c r="BE59" s="11"/>
      <c r="BF59" s="37"/>
    </row>
    <row r="60" spans="1:58" x14ac:dyDescent="0.25">
      <c r="A60" s="10"/>
      <c r="B60" s="1" t="s">
        <v>29</v>
      </c>
      <c r="C60" s="81">
        <v>41747</v>
      </c>
      <c r="D60" s="3">
        <v>14</v>
      </c>
      <c r="E60" s="54">
        <v>14.58</v>
      </c>
      <c r="F60" s="51">
        <v>0.20694444444444446</v>
      </c>
      <c r="G60" s="52">
        <v>0.19791666666666666</v>
      </c>
      <c r="H60" s="161">
        <v>144</v>
      </c>
      <c r="I60" s="157">
        <v>143</v>
      </c>
      <c r="J60" s="171">
        <v>4.8043981481481479E-2</v>
      </c>
      <c r="K60" s="11"/>
      <c r="L60" s="50"/>
      <c r="M60" s="2"/>
      <c r="N60" s="52"/>
      <c r="O60" s="161"/>
      <c r="P60" s="157"/>
      <c r="Q60" s="26"/>
      <c r="R60" s="44"/>
      <c r="S60" s="26"/>
      <c r="T60" s="53"/>
      <c r="U60" s="54"/>
      <c r="V60" s="51"/>
      <c r="W60" s="52"/>
      <c r="X60" s="161"/>
      <c r="Y60" s="157"/>
      <c r="Z60" s="15"/>
      <c r="AA60" s="11"/>
      <c r="AB60" s="11"/>
      <c r="AC60" s="50"/>
      <c r="AD60" s="161"/>
      <c r="AE60" s="157"/>
      <c r="AF60" s="4"/>
      <c r="AG60" s="13">
        <f t="shared" si="5"/>
        <v>14.58</v>
      </c>
      <c r="AH60" s="87">
        <f t="shared" si="6"/>
        <v>14</v>
      </c>
      <c r="AI60" s="27">
        <f>AG60-AH60</f>
        <v>0.58000000000000007</v>
      </c>
      <c r="AJ60" s="14">
        <f t="shared" si="7"/>
        <v>4.8043981481481479E-2</v>
      </c>
      <c r="AK60" s="32"/>
      <c r="AL60" s="51"/>
      <c r="AM60" s="3"/>
      <c r="AN60" s="55"/>
      <c r="AO60" s="11"/>
      <c r="AP60" s="55"/>
      <c r="AQ60" s="11"/>
      <c r="AR60" s="55"/>
      <c r="AS60" s="11"/>
      <c r="AT60" s="55"/>
      <c r="AU60" s="11"/>
      <c r="AV60" s="55"/>
      <c r="AW60" s="11"/>
      <c r="AX60" s="55"/>
      <c r="AY60" s="11"/>
      <c r="AZ60" s="55"/>
      <c r="BA60" s="11"/>
      <c r="BB60" s="55"/>
      <c r="BC60" s="11"/>
      <c r="BD60" s="55"/>
      <c r="BE60" s="11"/>
      <c r="BF60" s="37"/>
    </row>
    <row r="61" spans="1:58" x14ac:dyDescent="0.25">
      <c r="A61" s="56"/>
      <c r="B61" s="17" t="s">
        <v>27</v>
      </c>
      <c r="C61" s="85">
        <v>41749</v>
      </c>
      <c r="D61" s="19">
        <v>24</v>
      </c>
      <c r="E61" s="42">
        <v>24.06</v>
      </c>
      <c r="F61" s="21">
        <v>0.20694444444444446</v>
      </c>
      <c r="G61" s="22">
        <v>0.19375000000000001</v>
      </c>
      <c r="H61" s="160">
        <v>158</v>
      </c>
      <c r="I61" s="156">
        <v>144</v>
      </c>
      <c r="J61" s="172">
        <v>7.7824074074074087E-2</v>
      </c>
      <c r="K61" s="18"/>
      <c r="L61" s="20"/>
      <c r="M61" s="18"/>
      <c r="N61" s="20"/>
      <c r="O61" s="160"/>
      <c r="P61" s="156"/>
      <c r="Q61" s="18"/>
      <c r="R61" s="45"/>
      <c r="S61" s="84"/>
      <c r="T61" s="31"/>
      <c r="U61" s="42"/>
      <c r="V61" s="21"/>
      <c r="W61" s="22"/>
      <c r="X61" s="160"/>
      <c r="Y61" s="156"/>
      <c r="Z61" s="23"/>
      <c r="AA61" s="18"/>
      <c r="AB61" s="18"/>
      <c r="AC61" s="20"/>
      <c r="AD61" s="160"/>
      <c r="AE61" s="156"/>
      <c r="AF61" s="23"/>
      <c r="AG61" s="28">
        <f t="shared" si="5"/>
        <v>24.06</v>
      </c>
      <c r="AH61" s="88">
        <f t="shared" si="6"/>
        <v>24</v>
      </c>
      <c r="AI61" s="34">
        <f t="shared" si="2"/>
        <v>5.9999999999998721E-2</v>
      </c>
      <c r="AJ61" s="58">
        <f t="shared" si="7"/>
        <v>7.7824074074074087E-2</v>
      </c>
      <c r="AK61" s="33">
        <f>SUM(AG57:AG61)</f>
        <v>69.22</v>
      </c>
      <c r="AL61" s="21">
        <f>SUM(AJ57:AJ61)</f>
        <v>0.22267361111111111</v>
      </c>
      <c r="AM61" s="19"/>
      <c r="AN61" s="36"/>
      <c r="AO61" s="18"/>
      <c r="AP61" s="36"/>
      <c r="AQ61" s="18"/>
      <c r="AR61" s="36"/>
      <c r="AS61" s="18"/>
      <c r="AT61" s="36"/>
      <c r="AU61" s="18"/>
      <c r="AV61" s="36"/>
      <c r="AW61" s="18"/>
      <c r="AX61" s="36"/>
      <c r="AY61" s="18"/>
      <c r="AZ61" s="36"/>
      <c r="BA61" s="18"/>
      <c r="BB61" s="36"/>
      <c r="BC61" s="18"/>
      <c r="BD61" s="36"/>
      <c r="BE61" s="18"/>
      <c r="BF61" s="38"/>
    </row>
    <row r="62" spans="1:58" x14ac:dyDescent="0.25">
      <c r="A62" s="10"/>
      <c r="B62" s="1" t="s">
        <v>0</v>
      </c>
      <c r="C62" s="81">
        <v>41750</v>
      </c>
      <c r="D62" s="3">
        <v>9</v>
      </c>
      <c r="E62" s="54">
        <v>9.1</v>
      </c>
      <c r="F62" s="2"/>
      <c r="G62" s="52">
        <v>0.20347222222222219</v>
      </c>
      <c r="H62" s="161">
        <v>130</v>
      </c>
      <c r="I62" s="157"/>
      <c r="J62" s="171">
        <v>3.0914351851851849E-2</v>
      </c>
      <c r="K62" s="11"/>
      <c r="L62" s="50"/>
      <c r="M62" s="51"/>
      <c r="N62" s="52"/>
      <c r="O62" s="161"/>
      <c r="P62" s="157"/>
      <c r="Q62" s="26"/>
      <c r="R62" s="44"/>
      <c r="S62" s="26"/>
      <c r="T62" s="53"/>
      <c r="U62" s="54"/>
      <c r="V62" s="11"/>
      <c r="W62" s="50"/>
      <c r="X62" s="161"/>
      <c r="Y62" s="157"/>
      <c r="Z62" s="4"/>
      <c r="AA62" s="11"/>
      <c r="AB62" s="11"/>
      <c r="AC62" s="52"/>
      <c r="AD62" s="161"/>
      <c r="AE62" s="157"/>
      <c r="AF62" s="15"/>
      <c r="AG62" s="13">
        <f t="shared" si="5"/>
        <v>9.1</v>
      </c>
      <c r="AH62" s="87">
        <f t="shared" si="6"/>
        <v>9</v>
      </c>
      <c r="AI62" s="27">
        <f t="shared" si="2"/>
        <v>9.9999999999999645E-2</v>
      </c>
      <c r="AJ62" s="14">
        <f t="shared" si="7"/>
        <v>3.0914351851851849E-2</v>
      </c>
      <c r="AK62" s="32"/>
      <c r="AL62" s="51"/>
      <c r="AM62" s="3">
        <v>75.599999999999994</v>
      </c>
      <c r="AN62" s="9">
        <f>$AM$2-AM62</f>
        <v>1.5</v>
      </c>
      <c r="AP62" s="9">
        <f>$AO$2-AO62</f>
        <v>85</v>
      </c>
      <c r="AR62" s="9">
        <f>$AQ$2-AQ62</f>
        <v>91</v>
      </c>
      <c r="AT62" s="9">
        <f>$AS$2-AS62</f>
        <v>97</v>
      </c>
      <c r="AU62"/>
      <c r="AV62" s="9">
        <f>$AU$2-AU62</f>
        <v>56</v>
      </c>
      <c r="AX62" s="9">
        <f>$AW$2-AW62</f>
        <v>56</v>
      </c>
      <c r="AY62"/>
      <c r="AZ62" s="9">
        <f>$AY$2-AY62</f>
        <v>39</v>
      </c>
      <c r="BA62"/>
      <c r="BB62" s="9">
        <f>$BA$2-BA62</f>
        <v>39</v>
      </c>
      <c r="BC62"/>
      <c r="BD62" s="9">
        <f>$BC$2-BC62</f>
        <v>27</v>
      </c>
      <c r="BF62" s="37">
        <f>$BE$2-BE62</f>
        <v>27</v>
      </c>
    </row>
    <row r="63" spans="1:58" x14ac:dyDescent="0.25">
      <c r="A63" s="10"/>
      <c r="B63" s="1" t="s">
        <v>15</v>
      </c>
      <c r="C63" s="81">
        <v>41752</v>
      </c>
      <c r="D63" s="3"/>
      <c r="E63" s="54"/>
      <c r="F63" s="2"/>
      <c r="G63" s="52"/>
      <c r="H63" s="161"/>
      <c r="I63" s="157"/>
      <c r="J63" s="171"/>
      <c r="K63" s="11">
        <v>6</v>
      </c>
      <c r="L63" s="50">
        <v>6.08</v>
      </c>
      <c r="M63" s="11"/>
      <c r="N63" s="52">
        <v>0.19930555555555554</v>
      </c>
      <c r="O63" s="161">
        <v>144</v>
      </c>
      <c r="P63" s="157">
        <v>141</v>
      </c>
      <c r="Q63" s="26">
        <v>2.0219907407407409E-2</v>
      </c>
      <c r="R63" s="44"/>
      <c r="S63" s="26"/>
      <c r="T63" s="53"/>
      <c r="U63" s="54"/>
      <c r="V63" s="11"/>
      <c r="W63" s="50"/>
      <c r="X63" s="161"/>
      <c r="Y63" s="157"/>
      <c r="Z63" s="4"/>
      <c r="AA63" s="11">
        <v>9</v>
      </c>
      <c r="AB63" s="51">
        <v>0.16388888888888889</v>
      </c>
      <c r="AC63" s="52">
        <v>0.16874999999999998</v>
      </c>
      <c r="AD63" s="161">
        <v>171</v>
      </c>
      <c r="AE63" s="157">
        <v>163</v>
      </c>
      <c r="AF63" s="15">
        <v>2.5312500000000002E-2</v>
      </c>
      <c r="AG63" s="13">
        <f t="shared" si="5"/>
        <v>15.08</v>
      </c>
      <c r="AH63" s="87">
        <f t="shared" si="6"/>
        <v>15</v>
      </c>
      <c r="AI63" s="27">
        <f t="shared" si="2"/>
        <v>8.0000000000000071E-2</v>
      </c>
      <c r="AJ63" s="14">
        <f t="shared" si="7"/>
        <v>4.553240740740741E-2</v>
      </c>
      <c r="AK63" s="32"/>
      <c r="AL63" s="51"/>
      <c r="AM63" s="3"/>
      <c r="AU63"/>
      <c r="AY63"/>
      <c r="BA63"/>
      <c r="BC63"/>
      <c r="BF63" s="37"/>
    </row>
    <row r="64" spans="1:58" x14ac:dyDescent="0.25">
      <c r="A64" s="10">
        <v>17</v>
      </c>
      <c r="B64" s="1" t="s">
        <v>26</v>
      </c>
      <c r="C64" s="81">
        <v>41753</v>
      </c>
      <c r="D64" s="3">
        <v>8</v>
      </c>
      <c r="E64" s="54">
        <v>8.01</v>
      </c>
      <c r="F64" s="51">
        <v>0.20694444444444446</v>
      </c>
      <c r="G64" s="52">
        <v>0.19722222222222222</v>
      </c>
      <c r="H64" s="161">
        <v>144</v>
      </c>
      <c r="I64" s="157">
        <v>150</v>
      </c>
      <c r="J64" s="171">
        <v>2.6331018518518517E-2</v>
      </c>
      <c r="K64" s="11"/>
      <c r="L64" s="50"/>
      <c r="M64" s="2"/>
      <c r="N64" s="52"/>
      <c r="O64" s="161"/>
      <c r="P64" s="157"/>
      <c r="Q64" s="26"/>
      <c r="R64" s="44"/>
      <c r="S64" s="26"/>
      <c r="T64" s="53"/>
      <c r="U64" s="54"/>
      <c r="V64" s="51"/>
      <c r="W64" s="52"/>
      <c r="X64" s="161"/>
      <c r="Y64" s="157"/>
      <c r="Z64" s="15"/>
      <c r="AA64" s="11"/>
      <c r="AB64" s="11"/>
      <c r="AC64" s="52"/>
      <c r="AD64" s="161"/>
      <c r="AE64" s="157"/>
      <c r="AF64" s="4"/>
      <c r="AG64" s="13">
        <f t="shared" si="5"/>
        <v>8.01</v>
      </c>
      <c r="AH64" s="87">
        <f t="shared" si="6"/>
        <v>8</v>
      </c>
      <c r="AI64" s="27">
        <f t="shared" si="2"/>
        <v>9.9999999999997868E-3</v>
      </c>
      <c r="AJ64" s="14">
        <f t="shared" si="7"/>
        <v>2.6331018518518517E-2</v>
      </c>
      <c r="AK64" s="32"/>
      <c r="AL64" s="51"/>
      <c r="AM64" s="3"/>
      <c r="AN64" s="55"/>
      <c r="AO64" s="11"/>
      <c r="AP64" s="55"/>
      <c r="AQ64" s="11"/>
      <c r="AR64" s="55"/>
      <c r="AS64" s="11"/>
      <c r="AT64" s="55"/>
      <c r="AU64" s="11"/>
      <c r="AV64" s="55"/>
      <c r="AW64" s="11"/>
      <c r="AX64" s="55"/>
      <c r="AY64" s="11"/>
      <c r="AZ64" s="55"/>
      <c r="BA64" s="11"/>
      <c r="BB64" s="55"/>
      <c r="BC64" s="11"/>
      <c r="BD64" s="55"/>
      <c r="BE64" s="11"/>
      <c r="BF64" s="37"/>
    </row>
    <row r="65" spans="1:58" x14ac:dyDescent="0.25">
      <c r="A65" s="10"/>
      <c r="B65" s="1" t="s">
        <v>29</v>
      </c>
      <c r="C65" s="81">
        <v>41754</v>
      </c>
      <c r="D65" s="3">
        <v>15</v>
      </c>
      <c r="E65" s="54">
        <v>5</v>
      </c>
      <c r="F65" s="51">
        <v>0.20694444444444446</v>
      </c>
      <c r="G65" s="52">
        <v>0.19305555555555554</v>
      </c>
      <c r="H65" s="161">
        <v>144</v>
      </c>
      <c r="I65" s="157" t="s">
        <v>162</v>
      </c>
      <c r="J65" s="171">
        <v>1.6828703703703703E-2</v>
      </c>
      <c r="K65" s="11"/>
      <c r="L65" s="50"/>
      <c r="M65" s="2"/>
      <c r="N65" s="52"/>
      <c r="O65" s="161"/>
      <c r="P65" s="157"/>
      <c r="Q65" s="26"/>
      <c r="R65" s="44"/>
      <c r="S65" s="26"/>
      <c r="T65" s="53"/>
      <c r="U65" s="54"/>
      <c r="V65" s="51"/>
      <c r="W65" s="52"/>
      <c r="X65" s="161"/>
      <c r="Y65" s="157"/>
      <c r="Z65" s="15"/>
      <c r="AA65" s="11">
        <v>3</v>
      </c>
      <c r="AB65" s="51">
        <v>0.17569444444444446</v>
      </c>
      <c r="AC65" s="52">
        <v>0.17430555555555557</v>
      </c>
      <c r="AD65" s="161">
        <v>158</v>
      </c>
      <c r="AE65" s="157" t="s">
        <v>162</v>
      </c>
      <c r="AF65" s="15">
        <v>8.7384259259259255E-3</v>
      </c>
      <c r="AG65" s="13">
        <f t="shared" si="5"/>
        <v>8</v>
      </c>
      <c r="AH65" s="87">
        <f t="shared" si="6"/>
        <v>18</v>
      </c>
      <c r="AI65" s="27">
        <f>AG65-AH65</f>
        <v>-10</v>
      </c>
      <c r="AJ65" s="14">
        <f t="shared" si="7"/>
        <v>2.5567129629629627E-2</v>
      </c>
      <c r="AK65" s="32"/>
      <c r="AL65" s="51"/>
      <c r="AM65" s="3"/>
      <c r="AN65" s="55"/>
      <c r="AO65" s="11"/>
      <c r="AP65" s="55"/>
      <c r="AQ65" s="11"/>
      <c r="AR65" s="55"/>
      <c r="AS65" s="11"/>
      <c r="AT65" s="55"/>
      <c r="AU65" s="11"/>
      <c r="AV65" s="55"/>
      <c r="AW65" s="11"/>
      <c r="AX65" s="55"/>
      <c r="AY65" s="11"/>
      <c r="AZ65" s="55"/>
      <c r="BA65" s="11"/>
      <c r="BB65" s="55"/>
      <c r="BC65" s="11"/>
      <c r="BD65" s="55"/>
      <c r="BE65" s="11"/>
      <c r="BF65" s="37"/>
    </row>
    <row r="66" spans="1:58" x14ac:dyDescent="0.25">
      <c r="A66" s="56"/>
      <c r="B66" s="17" t="s">
        <v>27</v>
      </c>
      <c r="C66" s="85">
        <v>41756</v>
      </c>
      <c r="D66" s="19">
        <v>25</v>
      </c>
      <c r="E66" s="42">
        <v>36.700000000000003</v>
      </c>
      <c r="F66" s="21">
        <v>0.20694444444444446</v>
      </c>
      <c r="G66" s="22">
        <v>0.18055555555555555</v>
      </c>
      <c r="H66" s="160">
        <v>158</v>
      </c>
      <c r="I66" s="156">
        <v>161</v>
      </c>
      <c r="J66" s="172">
        <v>0.1108912037037037</v>
      </c>
      <c r="K66" s="18"/>
      <c r="L66" s="20"/>
      <c r="M66" s="18"/>
      <c r="N66" s="20"/>
      <c r="O66" s="160"/>
      <c r="P66" s="156"/>
      <c r="Q66" s="18"/>
      <c r="R66" s="45"/>
      <c r="S66" s="84"/>
      <c r="T66" s="31"/>
      <c r="U66" s="42"/>
      <c r="V66" s="21"/>
      <c r="W66" s="22"/>
      <c r="X66" s="160"/>
      <c r="Y66" s="156"/>
      <c r="Z66" s="24"/>
      <c r="AA66" s="18">
        <v>5</v>
      </c>
      <c r="AB66" s="21">
        <v>0.17569444444444446</v>
      </c>
      <c r="AC66" s="22">
        <v>0.17222222222222225</v>
      </c>
      <c r="AD66" s="160"/>
      <c r="AE66" s="156"/>
      <c r="AF66" s="23">
        <v>1.4374999999999999E-2</v>
      </c>
      <c r="AG66" s="28">
        <f t="shared" ref="AG66:AG80" si="8">E66+L66+U66+AA66+R66</f>
        <v>41.7</v>
      </c>
      <c r="AH66" s="88">
        <f t="shared" ref="AH66:AH81" si="9">D66+K66+U66+AA66+R66</f>
        <v>30</v>
      </c>
      <c r="AI66" s="34">
        <f t="shared" si="2"/>
        <v>11.700000000000003</v>
      </c>
      <c r="AJ66" s="58">
        <f t="shared" ref="AJ66:AJ81" si="10">J66+Q66+Z66+AF66+S66</f>
        <v>0.1252662037037037</v>
      </c>
      <c r="AK66" s="33">
        <f>SUM(AG62:AG66)</f>
        <v>81.89</v>
      </c>
      <c r="AL66" s="21">
        <f>SUM(AJ62:AJ66)</f>
        <v>0.25361111111111112</v>
      </c>
      <c r="AM66" s="19"/>
      <c r="AN66" s="36"/>
      <c r="AO66" s="18"/>
      <c r="AP66" s="36"/>
      <c r="AQ66" s="18"/>
      <c r="AR66" s="36"/>
      <c r="AS66" s="18"/>
      <c r="AT66" s="36"/>
      <c r="AU66" s="18"/>
      <c r="AV66" s="36"/>
      <c r="AW66" s="18"/>
      <c r="AX66" s="36"/>
      <c r="AY66" s="18"/>
      <c r="AZ66" s="36"/>
      <c r="BA66" s="18"/>
      <c r="BB66" s="36"/>
      <c r="BC66" s="18"/>
      <c r="BD66" s="36"/>
      <c r="BE66" s="18"/>
      <c r="BF66" s="38"/>
    </row>
    <row r="67" spans="1:58" x14ac:dyDescent="0.25">
      <c r="A67" s="10"/>
      <c r="B67" s="1" t="s">
        <v>0</v>
      </c>
      <c r="C67" s="81">
        <v>41757</v>
      </c>
      <c r="D67" s="3">
        <v>7</v>
      </c>
      <c r="E67" s="54">
        <v>6.86</v>
      </c>
      <c r="F67" s="2"/>
      <c r="G67" s="52"/>
      <c r="H67" s="161">
        <v>130</v>
      </c>
      <c r="I67" s="157" t="s">
        <v>162</v>
      </c>
      <c r="J67" s="171">
        <v>2.3159722222222224E-2</v>
      </c>
      <c r="K67" s="11"/>
      <c r="L67" s="50"/>
      <c r="M67" s="11"/>
      <c r="N67" s="50"/>
      <c r="O67" s="161"/>
      <c r="P67" s="157"/>
      <c r="Q67" s="11"/>
      <c r="R67" s="44"/>
      <c r="S67" s="26"/>
      <c r="T67" s="53"/>
      <c r="U67" s="54"/>
      <c r="V67" s="51"/>
      <c r="W67" s="52"/>
      <c r="X67" s="161"/>
      <c r="Y67" s="157"/>
      <c r="Z67" s="15"/>
      <c r="AA67" s="11"/>
      <c r="AB67" s="11"/>
      <c r="AC67" s="50"/>
      <c r="AD67" s="161"/>
      <c r="AE67" s="157"/>
      <c r="AF67" s="11"/>
      <c r="AG67" s="60">
        <f t="shared" si="8"/>
        <v>6.86</v>
      </c>
      <c r="AH67" s="87">
        <f t="shared" si="9"/>
        <v>7</v>
      </c>
      <c r="AI67" s="27">
        <f t="shared" si="2"/>
        <v>-0.13999999999999968</v>
      </c>
      <c r="AJ67" s="63">
        <f t="shared" si="10"/>
        <v>2.3159722222222224E-2</v>
      </c>
      <c r="AK67" s="59"/>
      <c r="AL67" s="51"/>
      <c r="AM67" s="3">
        <v>76</v>
      </c>
      <c r="AN67" s="9">
        <f>$AM$2-AM67</f>
        <v>1.0999999999999943</v>
      </c>
      <c r="AP67" s="9">
        <f>$AO$2-AO67</f>
        <v>85</v>
      </c>
      <c r="AR67" s="9">
        <f>$AQ$2-AQ67</f>
        <v>91</v>
      </c>
      <c r="AT67" s="9">
        <f>$AS$2-AS67</f>
        <v>97</v>
      </c>
      <c r="AU67"/>
      <c r="AV67" s="9">
        <f>$AU$2-AU67</f>
        <v>56</v>
      </c>
      <c r="AX67" s="9">
        <f>$AW$2-AW67</f>
        <v>56</v>
      </c>
      <c r="AY67"/>
      <c r="AZ67" s="9">
        <f>$AY$2-AY67</f>
        <v>39</v>
      </c>
      <c r="BA67"/>
      <c r="BB67" s="9">
        <f>$BA$2-BA67</f>
        <v>39</v>
      </c>
      <c r="BC67"/>
      <c r="BD67" s="9">
        <f>$BC$2-BC67</f>
        <v>27</v>
      </c>
      <c r="BF67" s="37">
        <f>$BE$2-BE67</f>
        <v>27</v>
      </c>
    </row>
    <row r="68" spans="1:58" x14ac:dyDescent="0.25">
      <c r="A68" s="10"/>
      <c r="B68" s="1" t="s">
        <v>24</v>
      </c>
      <c r="C68" s="81">
        <v>41758</v>
      </c>
      <c r="D68" s="3"/>
      <c r="E68" s="54"/>
      <c r="F68" s="2"/>
      <c r="G68" s="52"/>
      <c r="H68" s="161"/>
      <c r="I68" s="157"/>
      <c r="J68" s="171"/>
      <c r="K68" s="11">
        <v>4</v>
      </c>
      <c r="L68" s="50">
        <v>4.1500000000000004</v>
      </c>
      <c r="M68" s="11"/>
      <c r="N68" s="50"/>
      <c r="O68" s="161">
        <v>144</v>
      </c>
      <c r="P68" s="157">
        <v>150</v>
      </c>
      <c r="Q68" s="26">
        <v>1.3587962962962963E-2</v>
      </c>
      <c r="R68" s="44"/>
      <c r="S68" s="26"/>
      <c r="T68" s="53"/>
      <c r="U68" s="54"/>
      <c r="V68" s="51"/>
      <c r="W68" s="52"/>
      <c r="X68" s="161"/>
      <c r="Y68" s="157"/>
      <c r="Z68" s="15"/>
      <c r="AA68" s="27">
        <v>9</v>
      </c>
      <c r="AB68" s="51">
        <v>0.17569444444444446</v>
      </c>
      <c r="AC68" s="52">
        <v>0.17569444444444446</v>
      </c>
      <c r="AD68" s="161">
        <v>158</v>
      </c>
      <c r="AE68" s="157">
        <v>185</v>
      </c>
      <c r="AF68" s="26">
        <v>2.6354166666666668E-2</v>
      </c>
      <c r="AG68" s="61">
        <f t="shared" si="8"/>
        <v>13.15</v>
      </c>
      <c r="AH68" s="87">
        <f t="shared" si="9"/>
        <v>13</v>
      </c>
      <c r="AI68" s="27">
        <f t="shared" si="2"/>
        <v>0.15000000000000036</v>
      </c>
      <c r="AJ68" s="63">
        <f t="shared" si="10"/>
        <v>3.9942129629629633E-2</v>
      </c>
      <c r="AK68" s="59"/>
      <c r="AL68" s="51"/>
      <c r="AM68" s="3"/>
      <c r="AU68"/>
      <c r="AY68"/>
      <c r="BA68"/>
      <c r="BC68"/>
      <c r="BF68" s="37"/>
    </row>
    <row r="69" spans="1:58" x14ac:dyDescent="0.25">
      <c r="A69" s="10">
        <v>18</v>
      </c>
      <c r="B69" s="1" t="s">
        <v>26</v>
      </c>
      <c r="C69" s="81">
        <v>41760</v>
      </c>
      <c r="D69" s="3">
        <v>8</v>
      </c>
      <c r="E69" s="54">
        <v>10.25</v>
      </c>
      <c r="F69" s="51">
        <v>0.20694444444444446</v>
      </c>
      <c r="G69" s="52">
        <v>0.19930555555555554</v>
      </c>
      <c r="H69" s="161">
        <v>144</v>
      </c>
      <c r="I69" s="157" t="s">
        <v>162</v>
      </c>
      <c r="J69" s="171">
        <v>3.4027777777777775E-2</v>
      </c>
      <c r="K69" s="11"/>
      <c r="L69" s="50"/>
      <c r="M69" s="2"/>
      <c r="N69" s="52"/>
      <c r="O69" s="161"/>
      <c r="P69" s="157"/>
      <c r="Q69" s="26"/>
      <c r="R69" s="44"/>
      <c r="S69" s="26"/>
      <c r="T69" s="53"/>
      <c r="U69" s="54"/>
      <c r="V69" s="51"/>
      <c r="W69" s="52"/>
      <c r="X69" s="161"/>
      <c r="Y69" s="157"/>
      <c r="Z69" s="15"/>
      <c r="AA69" s="11"/>
      <c r="AB69" s="11"/>
      <c r="AC69" s="50"/>
      <c r="AD69" s="161"/>
      <c r="AE69" s="157"/>
      <c r="AF69" s="11"/>
      <c r="AG69" s="61">
        <f t="shared" si="8"/>
        <v>10.25</v>
      </c>
      <c r="AH69" s="87">
        <f t="shared" si="9"/>
        <v>8</v>
      </c>
      <c r="AI69" s="27">
        <f t="shared" si="2"/>
        <v>2.25</v>
      </c>
      <c r="AJ69" s="63">
        <f t="shared" si="10"/>
        <v>3.4027777777777775E-2</v>
      </c>
      <c r="AK69" s="59"/>
      <c r="AL69" s="51"/>
      <c r="AM69" s="3"/>
      <c r="AN69" s="55"/>
      <c r="AO69" s="11"/>
      <c r="AP69" s="55"/>
      <c r="AQ69" s="11"/>
      <c r="AR69" s="55"/>
      <c r="AS69" s="11"/>
      <c r="AT69" s="55"/>
      <c r="AU69" s="11"/>
      <c r="AV69" s="55"/>
      <c r="AW69" s="11"/>
      <c r="AX69" s="55"/>
      <c r="AY69" s="11"/>
      <c r="AZ69" s="55"/>
      <c r="BA69" s="11"/>
      <c r="BB69" s="55"/>
      <c r="BC69" s="11"/>
      <c r="BD69" s="55"/>
      <c r="BE69" s="11"/>
      <c r="BF69" s="37"/>
    </row>
    <row r="70" spans="1:58" x14ac:dyDescent="0.25">
      <c r="A70" s="10"/>
      <c r="B70" s="1" t="s">
        <v>29</v>
      </c>
      <c r="C70" s="81">
        <v>41761</v>
      </c>
      <c r="D70" s="3">
        <v>10</v>
      </c>
      <c r="E70" s="54">
        <v>12.14</v>
      </c>
      <c r="F70" s="51">
        <v>0.20694444444444446</v>
      </c>
      <c r="G70" s="52">
        <v>0.20486111111111113</v>
      </c>
      <c r="H70" s="161">
        <v>144</v>
      </c>
      <c r="I70" s="157">
        <v>151</v>
      </c>
      <c r="J70" s="171">
        <v>4.1504629629629627E-2</v>
      </c>
      <c r="K70" s="11"/>
      <c r="L70" s="50"/>
      <c r="M70" s="2"/>
      <c r="N70" s="52"/>
      <c r="O70" s="161"/>
      <c r="P70" s="157"/>
      <c r="Q70" s="26"/>
      <c r="R70" s="44"/>
      <c r="S70" s="26"/>
      <c r="T70" s="53"/>
      <c r="U70" s="54"/>
      <c r="V70" s="51"/>
      <c r="W70" s="52"/>
      <c r="X70" s="161"/>
      <c r="Y70" s="157"/>
      <c r="Z70" s="15"/>
      <c r="AA70" s="27">
        <v>4</v>
      </c>
      <c r="AB70" s="51">
        <v>0.17569444444444446</v>
      </c>
      <c r="AC70" s="52">
        <v>0.1763888888888889</v>
      </c>
      <c r="AD70" s="161">
        <v>158</v>
      </c>
      <c r="AE70" s="157">
        <v>160</v>
      </c>
      <c r="AF70" s="26">
        <v>1.1770833333333333E-2</v>
      </c>
      <c r="AG70" s="61">
        <f t="shared" si="8"/>
        <v>16.14</v>
      </c>
      <c r="AH70" s="87">
        <f t="shared" si="9"/>
        <v>14</v>
      </c>
      <c r="AI70" s="27">
        <f>AG70-AH70</f>
        <v>2.1400000000000006</v>
      </c>
      <c r="AJ70" s="63">
        <f t="shared" si="10"/>
        <v>5.3275462962962962E-2</v>
      </c>
      <c r="AK70" s="59"/>
      <c r="AL70" s="51"/>
      <c r="AM70" s="3"/>
      <c r="AN70" s="55"/>
      <c r="AO70" s="11"/>
      <c r="AP70" s="55"/>
      <c r="AQ70" s="11"/>
      <c r="AR70" s="55"/>
      <c r="AS70" s="11"/>
      <c r="AT70" s="55"/>
      <c r="AU70" s="11"/>
      <c r="AV70" s="55"/>
      <c r="AW70" s="11"/>
      <c r="AX70" s="55"/>
      <c r="AY70" s="11"/>
      <c r="AZ70" s="55"/>
      <c r="BA70" s="11"/>
      <c r="BB70" s="55"/>
      <c r="BC70" s="11"/>
      <c r="BD70" s="55"/>
      <c r="BE70" s="11"/>
      <c r="BF70" s="37"/>
    </row>
    <row r="71" spans="1:58" x14ac:dyDescent="0.25">
      <c r="A71" s="56"/>
      <c r="B71" s="17" t="s">
        <v>27</v>
      </c>
      <c r="C71" s="85">
        <v>41763</v>
      </c>
      <c r="D71" s="19">
        <v>16</v>
      </c>
      <c r="E71" s="42">
        <v>16.850000000000001</v>
      </c>
      <c r="F71" s="21">
        <v>0.20694444444444446</v>
      </c>
      <c r="G71" s="22">
        <v>0.19722222222222222</v>
      </c>
      <c r="H71" s="160">
        <v>158</v>
      </c>
      <c r="I71" s="156">
        <v>146</v>
      </c>
      <c r="J71" s="172">
        <v>5.5138888888888883E-2</v>
      </c>
      <c r="K71" s="18"/>
      <c r="L71" s="20"/>
      <c r="M71" s="18"/>
      <c r="N71" s="20"/>
      <c r="O71" s="160"/>
      <c r="P71" s="156"/>
      <c r="Q71" s="18"/>
      <c r="R71" s="45"/>
      <c r="S71" s="84"/>
      <c r="T71" s="31"/>
      <c r="U71" s="42"/>
      <c r="V71" s="18"/>
      <c r="W71" s="20"/>
      <c r="X71" s="160"/>
      <c r="Y71" s="156"/>
      <c r="Z71" s="24"/>
      <c r="AA71" s="18">
        <v>8</v>
      </c>
      <c r="AB71" s="21">
        <v>0.17569444444444446</v>
      </c>
      <c r="AC71" s="22">
        <v>0.17569444444444446</v>
      </c>
      <c r="AD71" s="160">
        <v>158</v>
      </c>
      <c r="AE71" s="156">
        <v>158</v>
      </c>
      <c r="AF71" s="132">
        <v>2.34375E-2</v>
      </c>
      <c r="AG71" s="28">
        <f t="shared" si="8"/>
        <v>24.85</v>
      </c>
      <c r="AH71" s="88">
        <f t="shared" si="9"/>
        <v>24</v>
      </c>
      <c r="AI71" s="34">
        <f t="shared" si="2"/>
        <v>0.85000000000000142</v>
      </c>
      <c r="AJ71" s="58">
        <f t="shared" si="10"/>
        <v>7.8576388888888876E-2</v>
      </c>
      <c r="AK71" s="33">
        <f>SUM(AG67:AG71)</f>
        <v>71.25</v>
      </c>
      <c r="AL71" s="21">
        <f>SUM(AJ67:AJ71)</f>
        <v>0.22898148148148145</v>
      </c>
      <c r="AM71" s="19"/>
      <c r="AN71" s="36"/>
      <c r="AO71" s="18"/>
      <c r="AP71" s="36"/>
      <c r="AQ71" s="18"/>
      <c r="AR71" s="36"/>
      <c r="AS71" s="18"/>
      <c r="AT71" s="36"/>
      <c r="AU71" s="18"/>
      <c r="AV71" s="36"/>
      <c r="AW71" s="18"/>
      <c r="AX71" s="36"/>
      <c r="AY71" s="18"/>
      <c r="AZ71" s="36"/>
      <c r="BA71" s="18"/>
      <c r="BB71" s="36"/>
      <c r="BC71" s="18"/>
      <c r="BD71" s="36"/>
      <c r="BE71" s="18"/>
      <c r="BF71" s="38"/>
    </row>
    <row r="72" spans="1:58" x14ac:dyDescent="0.25">
      <c r="A72" s="10"/>
      <c r="B72" s="1" t="s">
        <v>0</v>
      </c>
      <c r="C72" s="81">
        <v>41764</v>
      </c>
      <c r="D72" s="3">
        <v>6</v>
      </c>
      <c r="E72" s="54">
        <v>6.27</v>
      </c>
      <c r="F72" s="51"/>
      <c r="G72" s="52">
        <v>0.20555555555555557</v>
      </c>
      <c r="H72" s="161">
        <v>130</v>
      </c>
      <c r="I72" s="157">
        <v>147</v>
      </c>
      <c r="J72" s="171">
        <v>2.1435185185185186E-2</v>
      </c>
      <c r="K72" s="11"/>
      <c r="L72" s="50"/>
      <c r="M72" s="11"/>
      <c r="N72" s="50"/>
      <c r="O72" s="161"/>
      <c r="P72" s="157"/>
      <c r="Q72" s="11"/>
      <c r="R72" s="44"/>
      <c r="S72" s="26"/>
      <c r="T72" s="53"/>
      <c r="U72" s="54"/>
      <c r="V72" s="11"/>
      <c r="W72" s="50"/>
      <c r="X72" s="161"/>
      <c r="Y72" s="157"/>
      <c r="Z72" s="4"/>
      <c r="AA72" s="11"/>
      <c r="AB72" s="11"/>
      <c r="AC72" s="50"/>
      <c r="AD72" s="161"/>
      <c r="AE72" s="157"/>
      <c r="AF72" s="11"/>
      <c r="AG72" s="60">
        <f t="shared" si="8"/>
        <v>6.27</v>
      </c>
      <c r="AH72" s="87">
        <f t="shared" si="9"/>
        <v>6</v>
      </c>
      <c r="AI72" s="27">
        <f t="shared" si="2"/>
        <v>0.26999999999999957</v>
      </c>
      <c r="AJ72" s="63">
        <f t="shared" si="10"/>
        <v>2.1435185185185186E-2</v>
      </c>
      <c r="AK72" s="59"/>
      <c r="AL72" s="51"/>
      <c r="AM72" s="3"/>
      <c r="AN72" s="9">
        <f>$AM$2-AM72</f>
        <v>77.099999999999994</v>
      </c>
      <c r="AP72" s="9">
        <f>$AO$2-AO72</f>
        <v>85</v>
      </c>
      <c r="AR72" s="9">
        <f>$AQ$2-AQ72</f>
        <v>91</v>
      </c>
      <c r="AT72" s="9">
        <f>$AS$2-AS72</f>
        <v>97</v>
      </c>
      <c r="AU72"/>
      <c r="AV72" s="9">
        <f>$AU$2-AU72</f>
        <v>56</v>
      </c>
      <c r="AX72" s="9">
        <f>$AW$2-AW72</f>
        <v>56</v>
      </c>
      <c r="AY72"/>
      <c r="AZ72" s="9">
        <f>$AY$2-AY72</f>
        <v>39</v>
      </c>
      <c r="BA72"/>
      <c r="BB72" s="9">
        <f>$BA$2-BA72</f>
        <v>39</v>
      </c>
      <c r="BC72"/>
      <c r="BD72" s="9">
        <f>$BC$2-BC72</f>
        <v>27</v>
      </c>
      <c r="BF72" s="37">
        <f>$BE$2-BE72</f>
        <v>27</v>
      </c>
    </row>
    <row r="73" spans="1:58" x14ac:dyDescent="0.25">
      <c r="A73" s="10"/>
      <c r="B73" s="1" t="s">
        <v>24</v>
      </c>
      <c r="C73" s="81">
        <v>41765</v>
      </c>
      <c r="D73" s="3"/>
      <c r="E73" s="54"/>
      <c r="F73" s="51"/>
      <c r="G73" s="52"/>
      <c r="H73" s="161"/>
      <c r="I73" s="157"/>
      <c r="J73" s="171"/>
      <c r="K73" s="11">
        <v>4</v>
      </c>
      <c r="L73" s="50">
        <v>4.6900000000000004</v>
      </c>
      <c r="M73" s="11"/>
      <c r="N73" s="52">
        <v>0.19722222222222222</v>
      </c>
      <c r="O73" s="161">
        <v>144</v>
      </c>
      <c r="P73" s="157">
        <v>154</v>
      </c>
      <c r="Q73" s="26">
        <v>1.5358796296296296E-2</v>
      </c>
      <c r="R73" s="44"/>
      <c r="S73" s="26"/>
      <c r="T73" s="53"/>
      <c r="U73" s="54"/>
      <c r="V73" s="51"/>
      <c r="W73" s="52"/>
      <c r="X73" s="161"/>
      <c r="Y73" s="157"/>
      <c r="Z73" s="15"/>
      <c r="AA73" s="27">
        <v>7</v>
      </c>
      <c r="AB73" s="51">
        <v>0.17569444444444446</v>
      </c>
      <c r="AC73" s="52">
        <v>0.17569444444444446</v>
      </c>
      <c r="AD73" s="161">
        <v>158</v>
      </c>
      <c r="AE73" s="157">
        <v>159</v>
      </c>
      <c r="AF73" s="26">
        <v>2.0486111111111111E-2</v>
      </c>
      <c r="AG73" s="61">
        <f t="shared" si="8"/>
        <v>11.690000000000001</v>
      </c>
      <c r="AH73" s="87">
        <f t="shared" si="9"/>
        <v>11</v>
      </c>
      <c r="AI73" s="27">
        <f t="shared" si="2"/>
        <v>0.69000000000000128</v>
      </c>
      <c r="AJ73" s="63">
        <f t="shared" si="10"/>
        <v>3.5844907407407409E-2</v>
      </c>
      <c r="AK73" s="59"/>
      <c r="AL73" s="51"/>
      <c r="AM73" s="3"/>
      <c r="AN73" s="55"/>
      <c r="AO73" s="11"/>
      <c r="AP73" s="55"/>
      <c r="AQ73" s="11"/>
      <c r="AR73" s="55"/>
      <c r="AS73" s="11"/>
      <c r="AT73" s="55"/>
      <c r="AU73" s="11"/>
      <c r="AV73" s="55"/>
      <c r="AW73" s="11"/>
      <c r="AX73" s="55"/>
      <c r="AY73" s="11"/>
      <c r="AZ73" s="55"/>
      <c r="BA73" s="11"/>
      <c r="BB73" s="55"/>
      <c r="BC73" s="11"/>
      <c r="BD73" s="55"/>
      <c r="BE73" s="11"/>
      <c r="BF73" s="37"/>
    </row>
    <row r="74" spans="1:58" x14ac:dyDescent="0.25">
      <c r="A74" s="10">
        <v>19</v>
      </c>
      <c r="B74" s="1" t="s">
        <v>26</v>
      </c>
      <c r="C74" s="81">
        <v>41767</v>
      </c>
      <c r="D74" s="3">
        <v>4</v>
      </c>
      <c r="E74" s="54">
        <v>4.3</v>
      </c>
      <c r="F74" s="51">
        <v>0.20694444444444446</v>
      </c>
      <c r="G74" s="52">
        <v>0.19305555555555554</v>
      </c>
      <c r="H74" s="161">
        <v>144</v>
      </c>
      <c r="I74" s="157">
        <v>145</v>
      </c>
      <c r="J74" s="171">
        <v>1.3333333333333334E-2</v>
      </c>
      <c r="K74" s="11"/>
      <c r="L74" s="50"/>
      <c r="M74" s="11"/>
      <c r="N74" s="50"/>
      <c r="O74" s="161"/>
      <c r="P74" s="157"/>
      <c r="Q74" s="11"/>
      <c r="R74" s="44"/>
      <c r="S74" s="26"/>
      <c r="T74" s="53"/>
      <c r="U74" s="54"/>
      <c r="V74" s="11"/>
      <c r="W74" s="50"/>
      <c r="X74" s="161"/>
      <c r="Y74" s="157"/>
      <c r="Z74" s="4"/>
      <c r="AA74" s="27">
        <v>4</v>
      </c>
      <c r="AB74" s="51">
        <v>0.17569444444444446</v>
      </c>
      <c r="AC74" s="52">
        <v>0.17500000000000002</v>
      </c>
      <c r="AD74" s="161">
        <v>158</v>
      </c>
      <c r="AE74" s="157">
        <v>157</v>
      </c>
      <c r="AF74" s="26">
        <v>1.1655092592592594E-2</v>
      </c>
      <c r="AG74" s="61">
        <f t="shared" si="8"/>
        <v>8.3000000000000007</v>
      </c>
      <c r="AH74" s="87">
        <f t="shared" si="9"/>
        <v>8</v>
      </c>
      <c r="AI74" s="27">
        <f t="shared" si="2"/>
        <v>0.30000000000000071</v>
      </c>
      <c r="AJ74" s="63">
        <f t="shared" si="10"/>
        <v>2.4988425925925928E-2</v>
      </c>
      <c r="AK74" s="59"/>
      <c r="AL74" s="51"/>
      <c r="AM74" s="3"/>
      <c r="AN74" s="55"/>
      <c r="AO74" s="11"/>
      <c r="AP74" s="55"/>
      <c r="AQ74" s="11"/>
      <c r="AR74" s="55"/>
      <c r="AS74" s="11"/>
      <c r="AT74" s="55"/>
      <c r="AU74" s="11"/>
      <c r="AV74" s="55"/>
      <c r="AW74" s="11"/>
      <c r="AX74" s="55"/>
      <c r="AY74" s="11"/>
      <c r="AZ74" s="55"/>
      <c r="BA74" s="11"/>
      <c r="BB74" s="55"/>
      <c r="BC74" s="11"/>
      <c r="BD74" s="55"/>
      <c r="BE74" s="11"/>
      <c r="BF74" s="37"/>
    </row>
    <row r="75" spans="1:58" x14ac:dyDescent="0.25">
      <c r="A75" s="10"/>
      <c r="B75" s="1" t="s">
        <v>29</v>
      </c>
      <c r="C75" s="81">
        <v>41768</v>
      </c>
      <c r="D75" s="3"/>
      <c r="E75" s="54"/>
      <c r="F75" s="51"/>
      <c r="G75" s="52"/>
      <c r="H75" s="161"/>
      <c r="I75" s="157"/>
      <c r="J75" s="171"/>
      <c r="K75" s="11">
        <v>4</v>
      </c>
      <c r="L75" s="50">
        <v>5.22</v>
      </c>
      <c r="M75" s="11"/>
      <c r="N75" s="52">
        <v>0.1986111111111111</v>
      </c>
      <c r="O75" s="161">
        <v>144</v>
      </c>
      <c r="P75" s="157" t="s">
        <v>162</v>
      </c>
      <c r="Q75" s="26">
        <v>1.7303240740740741E-2</v>
      </c>
      <c r="R75" s="44">
        <v>1.78</v>
      </c>
      <c r="S75" s="26">
        <v>7.8703703703703713E-3</v>
      </c>
      <c r="T75" s="53" t="s">
        <v>166</v>
      </c>
      <c r="U75" s="54">
        <v>4</v>
      </c>
      <c r="V75" s="51">
        <v>0.15208333333333332</v>
      </c>
      <c r="W75" s="52">
        <v>0.15208333333333332</v>
      </c>
      <c r="X75" s="161">
        <v>185</v>
      </c>
      <c r="Y75" s="157" t="s">
        <v>162</v>
      </c>
      <c r="Z75" s="15">
        <v>1.0115740740740741E-2</v>
      </c>
      <c r="AA75" s="11"/>
      <c r="AB75" s="11"/>
      <c r="AC75" s="50"/>
      <c r="AD75" s="161"/>
      <c r="AE75" s="157"/>
      <c r="AF75" s="11"/>
      <c r="AG75" s="61">
        <f t="shared" si="8"/>
        <v>10.999999999999998</v>
      </c>
      <c r="AH75" s="87">
        <f t="shared" si="9"/>
        <v>9.7799999999999994</v>
      </c>
      <c r="AI75" s="27">
        <f>AG75-AH75</f>
        <v>1.2199999999999989</v>
      </c>
      <c r="AJ75" s="63">
        <f t="shared" si="10"/>
        <v>3.528935185185185E-2</v>
      </c>
      <c r="AK75" s="59"/>
      <c r="AL75" s="51"/>
      <c r="AM75" s="3"/>
      <c r="AN75" s="55"/>
      <c r="AO75" s="11"/>
      <c r="AP75" s="55"/>
      <c r="AQ75" s="11"/>
      <c r="AR75" s="55"/>
      <c r="AS75" s="11"/>
      <c r="AT75" s="55"/>
      <c r="AU75" s="11"/>
      <c r="AV75" s="55"/>
      <c r="AW75" s="11"/>
      <c r="AX75" s="55"/>
      <c r="AY75" s="11"/>
      <c r="AZ75" s="55"/>
      <c r="BA75" s="11"/>
      <c r="BB75" s="55"/>
      <c r="BC75" s="11"/>
      <c r="BD75" s="55"/>
      <c r="BE75" s="11"/>
      <c r="BF75" s="37"/>
    </row>
    <row r="76" spans="1:58" x14ac:dyDescent="0.25">
      <c r="A76" s="56"/>
      <c r="B76" s="17" t="s">
        <v>27</v>
      </c>
      <c r="C76" s="85">
        <v>41770</v>
      </c>
      <c r="D76" s="19">
        <v>18</v>
      </c>
      <c r="E76" s="42">
        <v>10</v>
      </c>
      <c r="F76" s="21">
        <v>0.20694444444444446</v>
      </c>
      <c r="G76" s="22">
        <v>0.16805555555555554</v>
      </c>
      <c r="H76" s="160">
        <v>158</v>
      </c>
      <c r="I76" s="156">
        <v>167</v>
      </c>
      <c r="J76" s="172">
        <v>2.7974537037037034E-2</v>
      </c>
      <c r="K76" s="18"/>
      <c r="L76" s="20"/>
      <c r="M76" s="18"/>
      <c r="N76" s="20"/>
      <c r="O76" s="160"/>
      <c r="P76" s="156"/>
      <c r="Q76" s="18"/>
      <c r="R76" s="45"/>
      <c r="S76" s="84"/>
      <c r="T76" s="31"/>
      <c r="U76" s="42"/>
      <c r="V76" s="18"/>
      <c r="W76" s="20"/>
      <c r="X76" s="160"/>
      <c r="Y76" s="156"/>
      <c r="Z76" s="24"/>
      <c r="AA76" s="18"/>
      <c r="AB76" s="18"/>
      <c r="AC76" s="20"/>
      <c r="AD76" s="160"/>
      <c r="AE76" s="156"/>
      <c r="AF76" s="18"/>
      <c r="AG76" s="28">
        <f t="shared" si="8"/>
        <v>10</v>
      </c>
      <c r="AH76" s="88">
        <f t="shared" si="9"/>
        <v>18</v>
      </c>
      <c r="AI76" s="34">
        <f t="shared" si="2"/>
        <v>-8</v>
      </c>
      <c r="AJ76" s="58">
        <f t="shared" si="10"/>
        <v>2.7974537037037034E-2</v>
      </c>
      <c r="AK76" s="33">
        <f>SUM(AG72:AG76)</f>
        <v>47.26</v>
      </c>
      <c r="AL76" s="21">
        <f>SUM(AJ72:AJ76)</f>
        <v>0.14553240740740742</v>
      </c>
      <c r="AM76" s="19"/>
      <c r="AN76" s="36"/>
      <c r="AO76" s="18"/>
      <c r="AP76" s="36"/>
      <c r="AQ76" s="18"/>
      <c r="AR76" s="36"/>
      <c r="AS76" s="18"/>
      <c r="AT76" s="36"/>
      <c r="AU76" s="18"/>
      <c r="AV76" s="36"/>
      <c r="AW76" s="18"/>
      <c r="AX76" s="36"/>
      <c r="AY76" s="18"/>
      <c r="AZ76" s="36"/>
      <c r="BA76" s="18"/>
      <c r="BB76" s="36"/>
      <c r="BC76" s="18"/>
      <c r="BD76" s="36"/>
      <c r="BE76" s="18"/>
      <c r="BF76" s="38"/>
    </row>
    <row r="77" spans="1:58" x14ac:dyDescent="0.25">
      <c r="A77" s="10"/>
      <c r="B77" s="1" t="s">
        <v>0</v>
      </c>
      <c r="C77" s="81">
        <v>41771</v>
      </c>
      <c r="D77" s="3">
        <v>8</v>
      </c>
      <c r="E77" s="54">
        <v>11.18</v>
      </c>
      <c r="F77" s="51"/>
      <c r="G77" s="52"/>
      <c r="H77" s="161">
        <v>130</v>
      </c>
      <c r="I77" s="157" t="s">
        <v>162</v>
      </c>
      <c r="J77" s="171">
        <v>3.4687500000000003E-2</v>
      </c>
      <c r="K77" s="11"/>
      <c r="L77" s="50"/>
      <c r="M77" s="11"/>
      <c r="N77" s="50"/>
      <c r="O77" s="161"/>
      <c r="P77" s="157"/>
      <c r="Q77" s="11"/>
      <c r="R77" s="44"/>
      <c r="S77" s="26"/>
      <c r="T77" s="53"/>
      <c r="U77" s="54"/>
      <c r="V77" s="11"/>
      <c r="W77" s="50"/>
      <c r="X77" s="161"/>
      <c r="Y77" s="157"/>
      <c r="Z77" s="4"/>
      <c r="AA77" s="11"/>
      <c r="AB77" s="11"/>
      <c r="AC77" s="50"/>
      <c r="AD77" s="161"/>
      <c r="AE77" s="157"/>
      <c r="AF77" s="11"/>
      <c r="AG77" s="60">
        <f t="shared" si="8"/>
        <v>11.18</v>
      </c>
      <c r="AH77" s="87">
        <f t="shared" si="9"/>
        <v>8</v>
      </c>
      <c r="AI77" s="27">
        <f t="shared" si="2"/>
        <v>3.1799999999999997</v>
      </c>
      <c r="AJ77" s="63">
        <f t="shared" si="10"/>
        <v>3.4687500000000003E-2</v>
      </c>
      <c r="AK77" s="59"/>
      <c r="AL77" s="51"/>
      <c r="AM77" s="3"/>
      <c r="AN77" s="9">
        <f>$AM$2-AM78</f>
        <v>77.099999999999994</v>
      </c>
      <c r="AP77" s="9">
        <f>$AO$2-AO77</f>
        <v>85</v>
      </c>
      <c r="AR77" s="9">
        <f>$AQ$2-AQ77</f>
        <v>91</v>
      </c>
      <c r="AT77" s="9">
        <f>$AS$2-AS77</f>
        <v>97</v>
      </c>
      <c r="AU77"/>
      <c r="AV77" s="9">
        <f>$AU$2-AU77</f>
        <v>56</v>
      </c>
      <c r="AX77" s="9">
        <f>$AW$2-AW77</f>
        <v>56</v>
      </c>
      <c r="AY77"/>
      <c r="AZ77" s="9">
        <f>$AY$2-AY77</f>
        <v>39</v>
      </c>
      <c r="BA77"/>
      <c r="BB77" s="9">
        <f>$BA$2-BA77</f>
        <v>39</v>
      </c>
      <c r="BC77"/>
      <c r="BD77" s="9">
        <f>$BC$2-BC77</f>
        <v>27</v>
      </c>
      <c r="BF77" s="37">
        <f>$BE$2-BE77</f>
        <v>27</v>
      </c>
    </row>
    <row r="78" spans="1:58" x14ac:dyDescent="0.25">
      <c r="A78" s="10"/>
      <c r="B78" s="1" t="s">
        <v>24</v>
      </c>
      <c r="C78" s="81">
        <v>41772</v>
      </c>
      <c r="D78" s="3">
        <v>10</v>
      </c>
      <c r="E78" s="54">
        <v>8</v>
      </c>
      <c r="F78" s="2">
        <v>0.20694444444444446</v>
      </c>
      <c r="G78" s="52">
        <v>0.18958333333333333</v>
      </c>
      <c r="H78" s="161">
        <v>144</v>
      </c>
      <c r="I78" s="157">
        <v>148</v>
      </c>
      <c r="J78" s="171">
        <v>2.5324074074074079E-2</v>
      </c>
      <c r="K78" s="11"/>
      <c r="L78" s="50"/>
      <c r="M78" s="11"/>
      <c r="N78" s="50"/>
      <c r="O78" s="161"/>
      <c r="P78" s="157"/>
      <c r="Q78" s="11"/>
      <c r="R78" s="44"/>
      <c r="S78" s="26"/>
      <c r="T78" s="53"/>
      <c r="U78" s="54"/>
      <c r="V78" s="11"/>
      <c r="W78" s="50"/>
      <c r="X78" s="161"/>
      <c r="Y78" s="157"/>
      <c r="Z78" s="4"/>
      <c r="AA78" s="11"/>
      <c r="AB78" s="11"/>
      <c r="AC78" s="50"/>
      <c r="AD78" s="161"/>
      <c r="AE78" s="157"/>
      <c r="AF78" s="11"/>
      <c r="AG78" s="61">
        <f t="shared" si="8"/>
        <v>8</v>
      </c>
      <c r="AH78" s="87">
        <f t="shared" si="9"/>
        <v>10</v>
      </c>
      <c r="AI78" s="27">
        <f t="shared" si="2"/>
        <v>-2</v>
      </c>
      <c r="AJ78" s="63">
        <f t="shared" si="10"/>
        <v>2.5324074074074079E-2</v>
      </c>
      <c r="AK78" s="59"/>
      <c r="AL78" s="51"/>
      <c r="AM78" s="3"/>
      <c r="AY78"/>
      <c r="BA78"/>
      <c r="BC78"/>
      <c r="BF78" s="37"/>
    </row>
    <row r="79" spans="1:58" x14ac:dyDescent="0.25">
      <c r="A79" s="10">
        <v>20</v>
      </c>
      <c r="B79" s="1" t="s">
        <v>26</v>
      </c>
      <c r="C79" s="81">
        <v>41774</v>
      </c>
      <c r="D79" s="3">
        <v>8</v>
      </c>
      <c r="E79" s="54">
        <v>7.37</v>
      </c>
      <c r="F79" s="2">
        <v>0.20694444444444446</v>
      </c>
      <c r="G79" s="52">
        <v>0.16527777777777777</v>
      </c>
      <c r="H79" s="161">
        <v>144</v>
      </c>
      <c r="I79" s="157">
        <v>164</v>
      </c>
      <c r="J79" s="171">
        <v>2.0324074074074074E-2</v>
      </c>
      <c r="K79" s="11"/>
      <c r="L79" s="50"/>
      <c r="M79" s="11"/>
      <c r="N79" s="50"/>
      <c r="O79" s="161"/>
      <c r="P79" s="157"/>
      <c r="Q79" s="11"/>
      <c r="R79" s="44"/>
      <c r="S79" s="26"/>
      <c r="T79" s="53"/>
      <c r="U79" s="54"/>
      <c r="V79" s="11"/>
      <c r="W79" s="50"/>
      <c r="X79" s="161"/>
      <c r="Y79" s="157"/>
      <c r="Z79" s="4"/>
      <c r="AA79" s="11"/>
      <c r="AB79" s="11"/>
      <c r="AC79" s="50"/>
      <c r="AD79" s="161"/>
      <c r="AE79" s="157"/>
      <c r="AF79" s="11"/>
      <c r="AG79" s="61">
        <f t="shared" si="8"/>
        <v>7.37</v>
      </c>
      <c r="AH79" s="87">
        <f t="shared" si="9"/>
        <v>8</v>
      </c>
      <c r="AI79" s="27">
        <f>AG79-AH79</f>
        <v>-0.62999999999999989</v>
      </c>
      <c r="AJ79" s="63">
        <f t="shared" si="10"/>
        <v>2.0324074074074074E-2</v>
      </c>
      <c r="AK79" s="59"/>
      <c r="AL79" s="51"/>
      <c r="AM79" s="3"/>
      <c r="AY79"/>
      <c r="BA79"/>
      <c r="BC79"/>
      <c r="BF79" s="37"/>
    </row>
    <row r="80" spans="1:58" x14ac:dyDescent="0.25">
      <c r="B80" s="17" t="s">
        <v>18</v>
      </c>
      <c r="C80" s="81">
        <v>41776</v>
      </c>
      <c r="D80" s="3">
        <v>6</v>
      </c>
      <c r="E80" s="54">
        <v>6</v>
      </c>
      <c r="F80" s="2">
        <v>0.20694444444444446</v>
      </c>
      <c r="G80" s="52">
        <v>0.20277777777777781</v>
      </c>
      <c r="H80" s="161">
        <v>144</v>
      </c>
      <c r="I80" s="157">
        <v>140</v>
      </c>
      <c r="J80" s="171">
        <v>2.0312500000000001E-2</v>
      </c>
      <c r="K80" s="11"/>
      <c r="L80" s="50"/>
      <c r="M80" s="2"/>
      <c r="N80" s="52"/>
      <c r="O80" s="161"/>
      <c r="P80" s="157"/>
      <c r="Q80" s="26"/>
      <c r="R80" s="44"/>
      <c r="S80" s="26"/>
      <c r="T80" s="53"/>
      <c r="U80" s="54"/>
      <c r="V80" s="11"/>
      <c r="W80" s="64"/>
      <c r="X80" s="161"/>
      <c r="Y80" s="157"/>
      <c r="Z80" s="15"/>
      <c r="AA80" s="11"/>
      <c r="AB80" s="11"/>
      <c r="AC80" s="50"/>
      <c r="AD80" s="161"/>
      <c r="AE80" s="157"/>
      <c r="AF80" s="11"/>
      <c r="AG80" s="61">
        <f t="shared" si="8"/>
        <v>6</v>
      </c>
      <c r="AH80" s="88">
        <f t="shared" si="9"/>
        <v>6</v>
      </c>
      <c r="AI80" s="27">
        <f t="shared" si="2"/>
        <v>0</v>
      </c>
      <c r="AJ80" s="58">
        <f t="shared" si="10"/>
        <v>2.0312500000000001E-2</v>
      </c>
      <c r="AK80" s="59"/>
      <c r="AL80" s="51"/>
      <c r="AM80" s="3"/>
      <c r="AN80" s="55"/>
      <c r="AO80" s="11"/>
      <c r="AP80" s="55"/>
      <c r="AQ80" s="11"/>
      <c r="AR80" s="55"/>
      <c r="AS80" s="11"/>
      <c r="AT80" s="55"/>
      <c r="AU80" s="11"/>
      <c r="AV80" s="55"/>
      <c r="AW80" s="11"/>
      <c r="AX80" s="55"/>
      <c r="AY80" s="11"/>
      <c r="AZ80" s="55"/>
      <c r="BA80" s="11"/>
      <c r="BB80" s="55"/>
      <c r="BC80" s="11"/>
      <c r="BD80" s="55"/>
      <c r="BE80" s="11"/>
      <c r="BF80" s="37"/>
    </row>
    <row r="81" spans="1:58" x14ac:dyDescent="0.25">
      <c r="A81" s="65"/>
      <c r="B81" s="17" t="s">
        <v>27</v>
      </c>
      <c r="C81" s="86">
        <v>41412</v>
      </c>
      <c r="D81" s="68"/>
      <c r="E81" s="72"/>
      <c r="F81" s="70"/>
      <c r="G81" s="69"/>
      <c r="H81" s="162"/>
      <c r="I81" s="158"/>
      <c r="J81" s="173"/>
      <c r="K81" s="70"/>
      <c r="L81" s="69"/>
      <c r="M81" s="70"/>
      <c r="N81" s="69"/>
      <c r="O81" s="162"/>
      <c r="P81" s="158"/>
      <c r="Q81" s="70"/>
      <c r="R81" s="77"/>
      <c r="S81" s="83"/>
      <c r="T81" s="71"/>
      <c r="U81" s="72"/>
      <c r="V81" s="70"/>
      <c r="W81" s="69"/>
      <c r="X81" s="162"/>
      <c r="Y81" s="158"/>
      <c r="Z81" s="76"/>
      <c r="AA81" s="70">
        <v>42.195</v>
      </c>
      <c r="AB81" s="177">
        <v>0.17569444444444446</v>
      </c>
      <c r="AC81" s="79">
        <v>0.1763888888888889</v>
      </c>
      <c r="AD81" s="162"/>
      <c r="AE81" s="158">
        <v>163</v>
      </c>
      <c r="AF81" s="80">
        <v>0.12450231481481482</v>
      </c>
      <c r="AG81" s="75">
        <f>AA81</f>
        <v>42.195</v>
      </c>
      <c r="AH81" s="154">
        <f t="shared" si="9"/>
        <v>42.195</v>
      </c>
      <c r="AI81" s="67">
        <f>AG81-AH81</f>
        <v>0</v>
      </c>
      <c r="AJ81" s="153">
        <f t="shared" si="10"/>
        <v>0.12450231481481482</v>
      </c>
      <c r="AK81" s="68"/>
      <c r="AL81" s="76"/>
      <c r="AM81" s="70"/>
      <c r="AN81" s="73">
        <f>$AM$2-AM81</f>
        <v>77.099999999999994</v>
      </c>
      <c r="AO81" s="70"/>
      <c r="AP81" s="73"/>
      <c r="AQ81" s="70"/>
      <c r="AR81" s="73"/>
      <c r="AS81" s="70"/>
      <c r="AT81" s="73"/>
      <c r="AU81" s="70"/>
      <c r="AV81" s="73"/>
      <c r="AW81" s="70"/>
      <c r="AX81" s="73"/>
      <c r="AY81" s="70"/>
      <c r="AZ81" s="73"/>
      <c r="BA81" s="70"/>
      <c r="BB81" s="73"/>
      <c r="BC81" s="70"/>
      <c r="BD81" s="73"/>
      <c r="BE81" s="70"/>
      <c r="BF81" s="74"/>
    </row>
    <row r="82" spans="1:58" x14ac:dyDescent="0.25">
      <c r="A82" s="6"/>
      <c r="H82" s="159"/>
      <c r="I82" s="147"/>
      <c r="O82" s="159"/>
      <c r="P82" s="147"/>
      <c r="X82" s="159"/>
      <c r="Y82" s="147"/>
      <c r="AD82" s="159"/>
      <c r="AE82" s="147"/>
      <c r="AY82"/>
      <c r="BA82"/>
      <c r="BC82"/>
    </row>
    <row r="83" spans="1:58" x14ac:dyDescent="0.25">
      <c r="A83" s="6"/>
      <c r="H83" s="159"/>
      <c r="I83" s="147"/>
      <c r="O83" s="159"/>
      <c r="P83" s="147"/>
      <c r="X83" s="159"/>
      <c r="Y83" s="147"/>
      <c r="AD83" s="159"/>
      <c r="AE83" s="147"/>
      <c r="AG83" s="13">
        <f>SUM(AG2:AG82)</f>
        <v>1176.7250000000001</v>
      </c>
      <c r="AH83" s="13">
        <f>SUM(AH2:AH82)</f>
        <v>1094.925</v>
      </c>
      <c r="AI83" s="13">
        <f>AG83-AH83</f>
        <v>81.800000000000182</v>
      </c>
      <c r="AJ83" s="14">
        <f>SUM(AJ2:AJ82)</f>
        <v>3.5469097222222232</v>
      </c>
      <c r="AK83" s="35">
        <f>SUM(AK2:AK80)</f>
        <v>1101.9800000000002</v>
      </c>
      <c r="AL83" s="21">
        <f>SUM(AL2:AL82)</f>
        <v>4.0705208333333331</v>
      </c>
      <c r="AY83"/>
      <c r="BA83"/>
      <c r="BC83"/>
    </row>
    <row r="84" spans="1:58" x14ac:dyDescent="0.25">
      <c r="A84" s="6"/>
      <c r="D84">
        <f>SUM(D2:D80)</f>
        <v>824</v>
      </c>
      <c r="E84" s="46">
        <f>SUM(E2:E80)</f>
        <v>902.0200000000001</v>
      </c>
      <c r="H84" s="159"/>
      <c r="I84" s="147"/>
      <c r="K84">
        <f>SUM(K2:K80)</f>
        <v>91</v>
      </c>
      <c r="L84">
        <f>SUM(L2:L80)</f>
        <v>94.78</v>
      </c>
      <c r="O84" s="159"/>
      <c r="P84" s="147"/>
      <c r="U84">
        <f>SUM(U2:U80)</f>
        <v>29.5</v>
      </c>
      <c r="X84" s="159"/>
      <c r="Y84" s="147"/>
      <c r="AA84">
        <f>SUM(AA2:AA80)</f>
        <v>99</v>
      </c>
      <c r="AC84"/>
      <c r="AD84" s="159"/>
      <c r="AE84" s="147"/>
      <c r="AG84" s="41"/>
      <c r="AY84"/>
      <c r="BA84"/>
      <c r="BC84"/>
    </row>
    <row r="85" spans="1:58" x14ac:dyDescent="0.25">
      <c r="A85" s="6"/>
      <c r="H85" s="159"/>
      <c r="I85" s="147"/>
      <c r="O85" s="159"/>
      <c r="P85" s="147"/>
      <c r="X85" s="159"/>
      <c r="Y85" s="147"/>
      <c r="AD85" s="159"/>
      <c r="AE85" s="147"/>
      <c r="AG85" s="41"/>
      <c r="AY85"/>
      <c r="BA85"/>
      <c r="BC85"/>
    </row>
    <row r="86" spans="1:58" x14ac:dyDescent="0.25">
      <c r="A86" s="6"/>
      <c r="H86" s="159"/>
      <c r="I86" s="147"/>
      <c r="O86" s="159"/>
      <c r="P86" s="147"/>
      <c r="X86" s="159"/>
      <c r="Y86" s="147"/>
      <c r="AD86" s="159"/>
      <c r="AE86" s="147"/>
      <c r="AY86"/>
      <c r="BA86"/>
      <c r="BC86"/>
    </row>
    <row r="87" spans="1:58" x14ac:dyDescent="0.25">
      <c r="H87" s="112"/>
      <c r="O87" s="112"/>
      <c r="X87" s="112"/>
      <c r="AD87" s="112"/>
      <c r="AY87"/>
      <c r="BA87"/>
      <c r="BC87"/>
    </row>
    <row r="88" spans="1:58" x14ac:dyDescent="0.25">
      <c r="H88" s="112"/>
      <c r="O88" s="112"/>
      <c r="X88" s="112"/>
      <c r="AD88" s="112"/>
      <c r="AY88"/>
      <c r="BA88"/>
      <c r="BC88"/>
    </row>
    <row r="89" spans="1:58" x14ac:dyDescent="0.25">
      <c r="H89" s="112"/>
      <c r="O89" s="112"/>
      <c r="X89" s="112"/>
      <c r="AD89" s="112"/>
      <c r="AY89"/>
      <c r="BA89"/>
      <c r="BC89"/>
    </row>
    <row r="90" spans="1:58" x14ac:dyDescent="0.25">
      <c r="H90" s="112"/>
      <c r="O90" s="112"/>
      <c r="X90" s="112"/>
      <c r="AD90" s="112"/>
      <c r="AY90"/>
      <c r="BA90"/>
      <c r="BC90"/>
    </row>
    <row r="91" spans="1:58" x14ac:dyDescent="0.25">
      <c r="H91" s="112"/>
      <c r="O91" s="112"/>
      <c r="X91" s="112"/>
      <c r="AD91" s="112"/>
      <c r="AY91"/>
      <c r="BA91"/>
      <c r="BC91"/>
    </row>
    <row r="92" spans="1:58" x14ac:dyDescent="0.25">
      <c r="H92" s="112"/>
      <c r="O92" s="112"/>
      <c r="X92" s="112"/>
      <c r="AD92" s="112"/>
      <c r="AY92"/>
      <c r="BA92"/>
      <c r="BC92"/>
    </row>
    <row r="93" spans="1:58" x14ac:dyDescent="0.25">
      <c r="H93" s="112"/>
      <c r="O93" s="112"/>
      <c r="X93" s="112"/>
      <c r="AD93" s="112"/>
      <c r="AY93"/>
      <c r="BA93"/>
      <c r="BC93"/>
    </row>
    <row r="94" spans="1:58" x14ac:dyDescent="0.25">
      <c r="H94" s="112"/>
      <c r="O94" s="112"/>
      <c r="X94" s="112"/>
      <c r="AD94" s="112"/>
      <c r="AY94"/>
      <c r="BA94"/>
      <c r="BC94"/>
    </row>
    <row r="95" spans="1:58" x14ac:dyDescent="0.25">
      <c r="H95" s="112"/>
      <c r="O95" s="112"/>
      <c r="X95" s="112"/>
      <c r="AD95" s="112"/>
      <c r="AY95"/>
      <c r="BA95"/>
      <c r="BC95"/>
    </row>
    <row r="96" spans="1:58" x14ac:dyDescent="0.25">
      <c r="H96" s="112"/>
      <c r="O96" s="112"/>
      <c r="X96" s="112"/>
      <c r="AD96" s="112"/>
      <c r="AY96"/>
      <c r="BA96"/>
      <c r="BC96"/>
    </row>
    <row r="97" spans="8:55" x14ac:dyDescent="0.25">
      <c r="H97" s="112"/>
      <c r="O97" s="112"/>
      <c r="X97" s="112"/>
      <c r="AD97" s="112"/>
      <c r="AY97"/>
      <c r="BA97"/>
      <c r="BC97"/>
    </row>
    <row r="98" spans="8:55" x14ac:dyDescent="0.25">
      <c r="H98" s="112"/>
      <c r="O98" s="112"/>
      <c r="X98" s="112"/>
      <c r="AD98" s="112"/>
    </row>
    <row r="99" spans="8:55" x14ac:dyDescent="0.25">
      <c r="H99" s="112"/>
      <c r="O99" s="112"/>
      <c r="X99" s="112"/>
      <c r="AD99" s="112"/>
    </row>
    <row r="100" spans="8:55" x14ac:dyDescent="0.25">
      <c r="H100" s="112"/>
      <c r="O100" s="112"/>
      <c r="X100" s="112"/>
      <c r="AD100" s="112"/>
    </row>
    <row r="101" spans="8:55" x14ac:dyDescent="0.25">
      <c r="H101" s="112"/>
      <c r="O101" s="112"/>
      <c r="X101" s="112"/>
      <c r="AD101" s="112"/>
    </row>
    <row r="102" spans="8:55" x14ac:dyDescent="0.25">
      <c r="H102" s="112"/>
      <c r="O102" s="112"/>
      <c r="X102" s="112"/>
      <c r="AD102" s="112"/>
    </row>
    <row r="103" spans="8:55" x14ac:dyDescent="0.25">
      <c r="H103" s="112"/>
      <c r="O103" s="112"/>
      <c r="X103" s="112"/>
      <c r="AD103" s="112"/>
    </row>
    <row r="104" spans="8:55" x14ac:dyDescent="0.25">
      <c r="H104" s="112"/>
      <c r="O104" s="112"/>
      <c r="X104" s="112"/>
      <c r="AD104" s="112"/>
    </row>
    <row r="105" spans="8:55" x14ac:dyDescent="0.25">
      <c r="H105" s="112"/>
      <c r="O105" s="112"/>
      <c r="X105" s="112"/>
      <c r="AD105" s="112"/>
    </row>
    <row r="106" spans="8:55" x14ac:dyDescent="0.25">
      <c r="H106" s="112"/>
      <c r="O106" s="112"/>
      <c r="X106" s="112"/>
      <c r="AD106" s="112"/>
    </row>
    <row r="107" spans="8:55" x14ac:dyDescent="0.25">
      <c r="H107" s="112"/>
      <c r="O107" s="112"/>
      <c r="X107" s="112"/>
      <c r="AD107" s="112"/>
    </row>
    <row r="108" spans="8:55" x14ac:dyDescent="0.25">
      <c r="H108" s="112"/>
      <c r="O108" s="112"/>
      <c r="X108" s="112"/>
      <c r="AD108" s="112"/>
    </row>
    <row r="109" spans="8:55" x14ac:dyDescent="0.25">
      <c r="H109" s="112"/>
      <c r="O109" s="112"/>
      <c r="X109" s="112"/>
      <c r="AD109" s="112"/>
    </row>
    <row r="110" spans="8:55" x14ac:dyDescent="0.25">
      <c r="H110" s="112"/>
      <c r="O110" s="112"/>
      <c r="X110" s="112"/>
      <c r="AD110" s="112"/>
    </row>
    <row r="111" spans="8:55" x14ac:dyDescent="0.25">
      <c r="H111" s="112"/>
      <c r="O111" s="112"/>
      <c r="X111" s="112"/>
      <c r="AD111" s="112"/>
    </row>
    <row r="112" spans="8:55" x14ac:dyDescent="0.25">
      <c r="H112" s="112"/>
      <c r="O112" s="112"/>
      <c r="X112" s="112"/>
      <c r="AD112" s="112"/>
    </row>
    <row r="113" spans="8:30" x14ac:dyDescent="0.25">
      <c r="H113" s="112"/>
      <c r="O113" s="112"/>
      <c r="X113" s="112"/>
      <c r="AD113" s="112"/>
    </row>
    <row r="114" spans="8:30" x14ac:dyDescent="0.25">
      <c r="H114" s="112"/>
      <c r="O114" s="112"/>
      <c r="X114" s="112"/>
      <c r="AD114" s="112"/>
    </row>
    <row r="115" spans="8:30" x14ac:dyDescent="0.25">
      <c r="H115" s="112"/>
      <c r="O115" s="112"/>
      <c r="X115" s="112"/>
      <c r="AD115" s="112"/>
    </row>
    <row r="116" spans="8:30" x14ac:dyDescent="0.25">
      <c r="H116" s="112"/>
      <c r="O116" s="112"/>
      <c r="X116" s="112"/>
      <c r="AD116" s="112"/>
    </row>
    <row r="117" spans="8:30" x14ac:dyDescent="0.25">
      <c r="H117" s="112"/>
      <c r="O117" s="112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132"/>
  <sheetViews>
    <sheetView zoomScaleNormal="100" workbookViewId="0">
      <pane ySplit="1" topLeftCell="A2" activePane="bottomLeft" state="frozen"/>
      <selection pane="bottomLeft" activeCell="A14" sqref="A14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8.140625" customWidth="1"/>
    <col min="5" max="5" width="8.140625" style="41" customWidth="1"/>
    <col min="6" max="6" width="8.140625" customWidth="1"/>
    <col min="7" max="9" width="8.140625" style="13" customWidth="1"/>
    <col min="10" max="10" width="8.140625" style="174" customWidth="1"/>
    <col min="11" max="11" width="8.140625" customWidth="1"/>
    <col min="12" max="12" width="8.140625" style="13" customWidth="1"/>
    <col min="13" max="13" width="8.140625" customWidth="1"/>
    <col min="14" max="16" width="8.140625" style="13" customWidth="1"/>
    <col min="17" max="17" width="8.140625" customWidth="1"/>
    <col min="18" max="19" width="8.140625" style="46" customWidth="1"/>
    <col min="20" max="20" width="8.140625" style="30" customWidth="1"/>
    <col min="21" max="21" width="8.140625" style="41" customWidth="1"/>
    <col min="22" max="22" width="8.140625" customWidth="1"/>
    <col min="23" max="25" width="8.140625" style="13" customWidth="1"/>
    <col min="26" max="28" width="8.140625" customWidth="1"/>
    <col min="29" max="31" width="8.140625" style="13" customWidth="1"/>
    <col min="32" max="32" width="8.140625" customWidth="1"/>
    <col min="33" max="33" width="8.140625" style="13" customWidth="1"/>
    <col min="34" max="34" width="8.140625" customWidth="1"/>
    <col min="35" max="35" width="6.28515625" customWidth="1"/>
    <col min="36" max="36" width="8.140625" style="13" customWidth="1"/>
    <col min="37" max="37" width="7.5703125" style="13" bestFit="1" customWidth="1"/>
    <col min="38" max="38" width="8.140625" style="13" bestFit="1" customWidth="1"/>
    <col min="39" max="39" width="8.140625" customWidth="1"/>
    <col min="40" max="40" width="8.140625" style="9" customWidth="1"/>
    <col min="41" max="41" width="8.140625" customWidth="1"/>
    <col min="42" max="42" width="8.140625" style="9" customWidth="1"/>
    <col min="43" max="43" width="8.140625" customWidth="1"/>
    <col min="44" max="44" width="8.140625" style="9" customWidth="1"/>
    <col min="45" max="45" width="8.140625" customWidth="1"/>
    <col min="46" max="48" width="8.140625" style="9" customWidth="1"/>
    <col min="49" max="49" width="8.140625" customWidth="1"/>
    <col min="50" max="56" width="8.140625" style="9" customWidth="1"/>
    <col min="57" max="57" width="8.140625" customWidth="1"/>
    <col min="58" max="58" width="8.140625" style="9" customWidth="1"/>
    <col min="59" max="59" width="10.42578125" bestFit="1" customWidth="1"/>
    <col min="60" max="72" width="8.140625" customWidth="1"/>
  </cols>
  <sheetData>
    <row r="1" spans="1:58" s="6" customFormat="1" x14ac:dyDescent="0.25">
      <c r="D1" s="7" t="s">
        <v>1</v>
      </c>
      <c r="E1" s="40" t="s">
        <v>4</v>
      </c>
      <c r="F1" s="6" t="s">
        <v>7</v>
      </c>
      <c r="G1" s="12" t="s">
        <v>4</v>
      </c>
      <c r="H1" s="6" t="s">
        <v>149</v>
      </c>
      <c r="I1" s="12" t="s">
        <v>148</v>
      </c>
      <c r="J1" s="170" t="s">
        <v>8</v>
      </c>
      <c r="K1" s="6" t="s">
        <v>16</v>
      </c>
      <c r="L1" s="12" t="s">
        <v>4</v>
      </c>
      <c r="M1" s="6" t="s">
        <v>7</v>
      </c>
      <c r="N1" s="12" t="s">
        <v>4</v>
      </c>
      <c r="O1" s="6" t="s">
        <v>149</v>
      </c>
      <c r="P1" s="12" t="s">
        <v>148</v>
      </c>
      <c r="Q1" s="10" t="s">
        <v>8</v>
      </c>
      <c r="R1" s="43" t="s">
        <v>20</v>
      </c>
      <c r="S1" s="82" t="s">
        <v>42</v>
      </c>
      <c r="T1" s="187" t="s">
        <v>2</v>
      </c>
      <c r="U1" s="40" t="s">
        <v>4</v>
      </c>
      <c r="V1" s="6" t="s">
        <v>7</v>
      </c>
      <c r="W1" s="12" t="s">
        <v>4</v>
      </c>
      <c r="X1" s="6" t="s">
        <v>149</v>
      </c>
      <c r="Y1" s="12" t="s">
        <v>148</v>
      </c>
      <c r="Z1" s="8" t="s">
        <v>8</v>
      </c>
      <c r="AA1" s="6" t="s">
        <v>45</v>
      </c>
      <c r="AB1" s="6" t="s">
        <v>7</v>
      </c>
      <c r="AC1" s="12" t="s">
        <v>4</v>
      </c>
      <c r="AD1" s="6" t="s">
        <v>149</v>
      </c>
      <c r="AE1" s="12" t="s">
        <v>148</v>
      </c>
      <c r="AF1" s="8" t="s">
        <v>8</v>
      </c>
      <c r="AG1" s="12" t="s">
        <v>19</v>
      </c>
      <c r="AH1" s="9" t="s">
        <v>6</v>
      </c>
      <c r="AI1" s="9" t="s">
        <v>5</v>
      </c>
      <c r="AJ1" s="12" t="s">
        <v>8</v>
      </c>
      <c r="AK1" s="6" t="s">
        <v>25</v>
      </c>
      <c r="AL1" s="6" t="s">
        <v>22</v>
      </c>
      <c r="AM1" s="7" t="s">
        <v>9</v>
      </c>
      <c r="AN1" s="9" t="s">
        <v>5</v>
      </c>
      <c r="AO1" s="6" t="s">
        <v>153</v>
      </c>
      <c r="AP1" s="9" t="s">
        <v>5</v>
      </c>
      <c r="AQ1" s="6" t="s">
        <v>154</v>
      </c>
      <c r="AR1" s="9" t="s">
        <v>5</v>
      </c>
      <c r="AS1" s="6" t="s">
        <v>39</v>
      </c>
      <c r="AT1" s="9" t="s">
        <v>5</v>
      </c>
      <c r="AU1" s="6" t="s">
        <v>155</v>
      </c>
      <c r="AV1" s="9" t="s">
        <v>5</v>
      </c>
      <c r="AW1" s="6" t="s">
        <v>152</v>
      </c>
      <c r="AX1" s="9" t="s">
        <v>5</v>
      </c>
      <c r="AY1" s="6" t="s">
        <v>157</v>
      </c>
      <c r="AZ1" s="9" t="s">
        <v>5</v>
      </c>
      <c r="BA1" s="6" t="s">
        <v>156</v>
      </c>
      <c r="BB1" s="9" t="s">
        <v>5</v>
      </c>
      <c r="BC1" s="6" t="s">
        <v>158</v>
      </c>
      <c r="BD1" s="9" t="s">
        <v>5</v>
      </c>
      <c r="BE1" s="6" t="s">
        <v>159</v>
      </c>
      <c r="BF1" s="37" t="s">
        <v>5</v>
      </c>
    </row>
    <row r="2" spans="1:58" x14ac:dyDescent="0.25">
      <c r="B2" s="1" t="s">
        <v>0</v>
      </c>
      <c r="C2" s="81">
        <v>42037</v>
      </c>
      <c r="D2" s="3">
        <v>10</v>
      </c>
      <c r="E2" s="41">
        <v>10.199999999999999</v>
      </c>
      <c r="F2" s="2"/>
      <c r="G2" s="14">
        <v>0.20694444444444446</v>
      </c>
      <c r="H2" s="159">
        <v>130</v>
      </c>
      <c r="I2" s="147">
        <v>145</v>
      </c>
      <c r="J2" s="171">
        <v>3.5219907407407408E-2</v>
      </c>
      <c r="O2" s="159"/>
      <c r="P2" s="147"/>
      <c r="Q2" s="11"/>
      <c r="R2" s="44"/>
      <c r="S2" s="26"/>
      <c r="X2" s="159"/>
      <c r="Y2" s="147"/>
      <c r="Z2" s="4"/>
      <c r="AD2" s="159"/>
      <c r="AE2" s="147"/>
      <c r="AF2" s="4"/>
      <c r="AG2" s="13">
        <f t="shared" ref="AG2:AG78" si="0">E2+L2+U2+AA2+R2</f>
        <v>10.199999999999999</v>
      </c>
      <c r="AH2" s="87">
        <f t="shared" ref="AH2:AH78" si="1">D2+K2+U2+AA2+R2</f>
        <v>10</v>
      </c>
      <c r="AI2" s="27">
        <f t="shared" ref="AI2:AI95" si="2">AG2-AH2</f>
        <v>0.19999999999999929</v>
      </c>
      <c r="AJ2" s="63">
        <f t="shared" ref="AJ2:AJ78" si="3">J2+Q2+Z2+AF2+S2</f>
        <v>3.5219907407407408E-2</v>
      </c>
      <c r="AK2" s="59"/>
      <c r="AL2"/>
      <c r="AM2" s="3">
        <v>80.7</v>
      </c>
      <c r="AO2">
        <v>92</v>
      </c>
      <c r="AQ2">
        <v>95</v>
      </c>
      <c r="AS2">
        <v>98</v>
      </c>
      <c r="AU2">
        <v>58</v>
      </c>
      <c r="AW2">
        <v>58</v>
      </c>
      <c r="AY2">
        <v>41</v>
      </c>
      <c r="BA2">
        <v>41</v>
      </c>
      <c r="BC2">
        <v>30</v>
      </c>
      <c r="BE2">
        <v>30</v>
      </c>
      <c r="BF2" s="39"/>
    </row>
    <row r="3" spans="1:58" x14ac:dyDescent="0.25">
      <c r="B3" s="1" t="s">
        <v>24</v>
      </c>
      <c r="C3" s="81">
        <v>42038</v>
      </c>
      <c r="D3" s="3">
        <v>10</v>
      </c>
      <c r="E3" s="41">
        <v>10.23</v>
      </c>
      <c r="F3" s="2">
        <v>0.20833333333333334</v>
      </c>
      <c r="G3" s="14">
        <v>0.20625000000000002</v>
      </c>
      <c r="H3" s="159">
        <v>143</v>
      </c>
      <c r="I3" s="147">
        <v>154</v>
      </c>
      <c r="J3" s="171">
        <v>3.515046296296296E-2</v>
      </c>
      <c r="O3" s="159"/>
      <c r="P3" s="147"/>
      <c r="Q3" s="11"/>
      <c r="R3" s="44"/>
      <c r="S3" s="26"/>
      <c r="X3" s="159"/>
      <c r="Y3" s="147"/>
      <c r="Z3" s="4"/>
      <c r="AD3" s="159"/>
      <c r="AE3" s="147"/>
      <c r="AF3" s="4"/>
      <c r="AG3" s="13">
        <f t="shared" si="0"/>
        <v>10.23</v>
      </c>
      <c r="AH3" s="87">
        <f t="shared" si="1"/>
        <v>10</v>
      </c>
      <c r="AI3" s="27">
        <f t="shared" si="2"/>
        <v>0.23000000000000043</v>
      </c>
      <c r="AJ3" s="63">
        <f t="shared" si="3"/>
        <v>3.515046296296296E-2</v>
      </c>
      <c r="AK3" s="59"/>
      <c r="AL3"/>
      <c r="AM3" s="3"/>
      <c r="AU3"/>
      <c r="AY3"/>
      <c r="BA3"/>
      <c r="BC3"/>
      <c r="BF3" s="37"/>
    </row>
    <row r="4" spans="1:58" x14ac:dyDescent="0.25">
      <c r="A4" s="25">
        <v>6</v>
      </c>
      <c r="B4" s="1" t="s">
        <v>15</v>
      </c>
      <c r="C4" s="81">
        <v>42039</v>
      </c>
      <c r="D4" s="3">
        <v>10</v>
      </c>
      <c r="E4" s="41">
        <v>10.29</v>
      </c>
      <c r="F4" s="2"/>
      <c r="G4" s="14">
        <v>0.20347222222222219</v>
      </c>
      <c r="H4" s="159">
        <v>130</v>
      </c>
      <c r="I4" s="147">
        <v>148</v>
      </c>
      <c r="J4" s="171">
        <v>3.4942129629629635E-2</v>
      </c>
      <c r="M4" s="2"/>
      <c r="N4" s="14"/>
      <c r="O4" s="159"/>
      <c r="P4" s="147"/>
      <c r="Q4" s="26"/>
      <c r="R4" s="44"/>
      <c r="S4" s="26"/>
      <c r="V4" s="2"/>
      <c r="W4" s="14"/>
      <c r="X4" s="159"/>
      <c r="Y4" s="147"/>
      <c r="Z4" s="47"/>
      <c r="AD4" s="159"/>
      <c r="AE4" s="147"/>
      <c r="AF4" s="4"/>
      <c r="AG4" s="13">
        <f t="shared" si="0"/>
        <v>10.29</v>
      </c>
      <c r="AH4" s="87">
        <f t="shared" si="1"/>
        <v>10</v>
      </c>
      <c r="AI4" s="27">
        <f t="shared" si="2"/>
        <v>0.28999999999999915</v>
      </c>
      <c r="AJ4" s="63">
        <f t="shared" si="3"/>
        <v>3.4942129629629635E-2</v>
      </c>
      <c r="AK4" s="59"/>
      <c r="AL4"/>
      <c r="AM4" s="3"/>
      <c r="AU4"/>
      <c r="AY4"/>
      <c r="BA4"/>
      <c r="BC4"/>
      <c r="BF4" s="37"/>
    </row>
    <row r="5" spans="1:58" x14ac:dyDescent="0.25">
      <c r="A5" s="25"/>
      <c r="B5" s="1" t="s">
        <v>26</v>
      </c>
      <c r="C5" s="81">
        <v>42040</v>
      </c>
      <c r="D5" s="3">
        <v>14</v>
      </c>
      <c r="E5" s="41">
        <v>14.89</v>
      </c>
      <c r="F5" s="2">
        <v>0.20833333333333334</v>
      </c>
      <c r="G5" s="14">
        <v>0.20833333333333334</v>
      </c>
      <c r="H5" s="159">
        <v>143</v>
      </c>
      <c r="I5" s="147">
        <v>145</v>
      </c>
      <c r="J5" s="171">
        <v>5.1643518518518526E-2</v>
      </c>
      <c r="M5" s="2"/>
      <c r="N5" s="14"/>
      <c r="O5" s="159"/>
      <c r="P5" s="147"/>
      <c r="Q5" s="26"/>
      <c r="R5" s="44"/>
      <c r="S5" s="26"/>
      <c r="V5" s="2"/>
      <c r="W5" s="14"/>
      <c r="X5" s="159"/>
      <c r="Y5" s="147"/>
      <c r="Z5" s="47"/>
      <c r="AD5" s="159"/>
      <c r="AE5" s="147"/>
      <c r="AF5" s="4"/>
      <c r="AG5" s="13">
        <f>E5+L5+U5+AA5+R5</f>
        <v>14.89</v>
      </c>
      <c r="AH5" s="87">
        <f>D5+K5+U5+AA5+R5</f>
        <v>14</v>
      </c>
      <c r="AI5" s="27">
        <f>AG5-AH5</f>
        <v>0.89000000000000057</v>
      </c>
      <c r="AJ5" s="63">
        <f>J5+Q5+Z5+AF5+S5</f>
        <v>5.1643518518518526E-2</v>
      </c>
      <c r="AK5" s="59"/>
      <c r="AL5"/>
      <c r="AM5" s="3"/>
      <c r="AU5"/>
      <c r="AY5"/>
      <c r="BA5"/>
      <c r="BC5"/>
      <c r="BF5" s="37"/>
    </row>
    <row r="6" spans="1:58" x14ac:dyDescent="0.25">
      <c r="A6" s="25"/>
      <c r="B6" s="1" t="s">
        <v>29</v>
      </c>
      <c r="C6" s="81">
        <v>42041</v>
      </c>
      <c r="D6" s="3"/>
      <c r="F6" s="2"/>
      <c r="G6" s="14"/>
      <c r="H6" s="159"/>
      <c r="I6" s="147"/>
      <c r="J6" s="171"/>
      <c r="K6">
        <v>6</v>
      </c>
      <c r="L6" s="13">
        <v>7.47</v>
      </c>
      <c r="M6" s="2"/>
      <c r="N6" s="14">
        <v>0.20625000000000002</v>
      </c>
      <c r="O6" s="159">
        <v>143</v>
      </c>
      <c r="P6" s="147">
        <v>152</v>
      </c>
      <c r="Q6" s="26">
        <v>2.5729166666666664E-2</v>
      </c>
      <c r="R6" s="44">
        <v>0.91</v>
      </c>
      <c r="S6" s="26">
        <v>4.1666666666666666E-3</v>
      </c>
      <c r="T6" s="30" t="s">
        <v>202</v>
      </c>
      <c r="U6" s="41">
        <v>6</v>
      </c>
      <c r="V6" s="2">
        <v>0.16666666666666666</v>
      </c>
      <c r="W6" s="14">
        <v>0.16666666666666666</v>
      </c>
      <c r="X6" s="159">
        <v>170</v>
      </c>
      <c r="Y6" s="147">
        <v>164</v>
      </c>
      <c r="Z6" s="47">
        <v>1.6689814814814817E-2</v>
      </c>
      <c r="AD6" s="159"/>
      <c r="AE6" s="147"/>
      <c r="AF6" s="4"/>
      <c r="AG6" s="13">
        <f t="shared" si="0"/>
        <v>14.379999999999999</v>
      </c>
      <c r="AH6" s="87">
        <f t="shared" si="1"/>
        <v>12.91</v>
      </c>
      <c r="AI6" s="27">
        <f t="shared" si="2"/>
        <v>1.4699999999999989</v>
      </c>
      <c r="AJ6" s="63">
        <f t="shared" si="3"/>
        <v>4.6585648148148147E-2</v>
      </c>
      <c r="AK6" s="59"/>
      <c r="AL6"/>
      <c r="AM6" s="3"/>
      <c r="AU6"/>
      <c r="AY6"/>
      <c r="BA6"/>
      <c r="BC6"/>
      <c r="BF6" s="37"/>
    </row>
    <row r="7" spans="1:58" x14ac:dyDescent="0.25">
      <c r="A7" s="18"/>
      <c r="B7" s="17" t="s">
        <v>27</v>
      </c>
      <c r="C7" s="85">
        <v>42043</v>
      </c>
      <c r="D7" s="19">
        <v>24</v>
      </c>
      <c r="E7" s="42">
        <v>26.93</v>
      </c>
      <c r="F7" s="21">
        <v>0.20833333333333334</v>
      </c>
      <c r="G7" s="22">
        <v>0.20625000000000002</v>
      </c>
      <c r="H7" s="160">
        <v>157</v>
      </c>
      <c r="I7" s="156">
        <v>147</v>
      </c>
      <c r="J7" s="172">
        <v>9.2650462962962962E-2</v>
      </c>
      <c r="K7" s="18"/>
      <c r="L7" s="20"/>
      <c r="M7" s="18"/>
      <c r="N7" s="20"/>
      <c r="O7" s="160"/>
      <c r="P7" s="156"/>
      <c r="Q7" s="18"/>
      <c r="R7" s="45"/>
      <c r="S7" s="84"/>
      <c r="T7" s="31"/>
      <c r="U7" s="42"/>
      <c r="V7" s="18"/>
      <c r="W7" s="20"/>
      <c r="X7" s="160"/>
      <c r="Y7" s="156"/>
      <c r="Z7" s="24"/>
      <c r="AA7" s="18"/>
      <c r="AB7" s="18"/>
      <c r="AC7" s="20"/>
      <c r="AD7" s="160"/>
      <c r="AE7" s="156"/>
      <c r="AF7" s="24"/>
      <c r="AG7" s="20">
        <f t="shared" si="0"/>
        <v>26.93</v>
      </c>
      <c r="AH7" s="88">
        <f t="shared" si="1"/>
        <v>24</v>
      </c>
      <c r="AI7" s="18">
        <f t="shared" si="2"/>
        <v>2.9299999999999997</v>
      </c>
      <c r="AJ7" s="58">
        <f t="shared" si="3"/>
        <v>9.2650462962962962E-2</v>
      </c>
      <c r="AK7" s="57">
        <f>SUM(AG2:AG7)</f>
        <v>86.919999999999987</v>
      </c>
      <c r="AL7" s="21">
        <f>SUM(AJ2:AJ7)</f>
        <v>0.29619212962962965</v>
      </c>
      <c r="AM7" s="19"/>
      <c r="AN7" s="36"/>
      <c r="AO7" s="18"/>
      <c r="AP7" s="36"/>
      <c r="AQ7" s="18"/>
      <c r="AR7" s="36"/>
      <c r="AS7" s="18"/>
      <c r="AT7" s="36"/>
      <c r="AU7" s="18"/>
      <c r="AV7" s="36"/>
      <c r="AW7" s="18"/>
      <c r="AX7" s="36"/>
      <c r="AY7" s="18"/>
      <c r="AZ7" s="36"/>
      <c r="BA7" s="18"/>
      <c r="BB7" s="36"/>
      <c r="BC7" s="18"/>
      <c r="BD7" s="36"/>
      <c r="BE7" s="18"/>
      <c r="BF7" s="38"/>
    </row>
    <row r="8" spans="1:58" x14ac:dyDescent="0.25">
      <c r="B8" s="1" t="s">
        <v>0</v>
      </c>
      <c r="C8" s="81">
        <v>42044</v>
      </c>
      <c r="D8" s="3">
        <v>10</v>
      </c>
      <c r="E8" s="41">
        <v>9.94</v>
      </c>
      <c r="F8" s="2"/>
      <c r="G8" s="14"/>
      <c r="H8" s="159">
        <v>130</v>
      </c>
      <c r="I8" s="147">
        <v>140</v>
      </c>
      <c r="J8" s="171">
        <v>3.5069444444444445E-2</v>
      </c>
      <c r="M8" s="2"/>
      <c r="N8" s="14"/>
      <c r="O8" s="159"/>
      <c r="P8" s="147"/>
      <c r="Q8" s="26"/>
      <c r="R8" s="44"/>
      <c r="S8" s="26"/>
      <c r="V8" s="2"/>
      <c r="W8" s="14"/>
      <c r="X8" s="159"/>
      <c r="Y8" s="147"/>
      <c r="Z8" s="15"/>
      <c r="AD8" s="159"/>
      <c r="AE8" s="147"/>
      <c r="AF8" s="4"/>
      <c r="AG8" s="13">
        <f t="shared" si="0"/>
        <v>9.94</v>
      </c>
      <c r="AH8" s="87">
        <f t="shared" si="1"/>
        <v>10</v>
      </c>
      <c r="AI8" s="27">
        <f t="shared" si="2"/>
        <v>-6.0000000000000497E-2</v>
      </c>
      <c r="AJ8" s="63">
        <f t="shared" si="3"/>
        <v>3.5069444444444445E-2</v>
      </c>
      <c r="AK8" s="59"/>
      <c r="AL8"/>
      <c r="AM8" s="3">
        <v>78.900000000000006</v>
      </c>
      <c r="AN8" s="9">
        <f>$AM$2-AM8</f>
        <v>1.7999999999999972</v>
      </c>
      <c r="AO8">
        <v>92</v>
      </c>
      <c r="AP8" s="9">
        <f>$AO$2-AO8</f>
        <v>0</v>
      </c>
      <c r="AQ8">
        <v>96</v>
      </c>
      <c r="AR8" s="9">
        <f>$AQ$2-AQ8</f>
        <v>-1</v>
      </c>
      <c r="AS8">
        <v>97</v>
      </c>
      <c r="AT8" s="9">
        <f>$AS$2-AS8</f>
        <v>1</v>
      </c>
      <c r="AU8">
        <v>58</v>
      </c>
      <c r="AV8" s="9">
        <f>$AU$2-AU8</f>
        <v>0</v>
      </c>
      <c r="AW8">
        <v>58</v>
      </c>
      <c r="AX8" s="9">
        <f>$AW$2-AW8</f>
        <v>0</v>
      </c>
      <c r="AY8">
        <v>42</v>
      </c>
      <c r="AZ8" s="9">
        <f>$AY$2-AY8</f>
        <v>-1</v>
      </c>
      <c r="BA8">
        <v>42</v>
      </c>
      <c r="BB8" s="9">
        <f>$BA$2-BA8</f>
        <v>-1</v>
      </c>
      <c r="BC8">
        <v>28</v>
      </c>
      <c r="BD8" s="9">
        <f>$BC$2-BC8</f>
        <v>2</v>
      </c>
      <c r="BE8">
        <v>28</v>
      </c>
      <c r="BF8" s="37">
        <f>$BE$2-BE8</f>
        <v>2</v>
      </c>
    </row>
    <row r="9" spans="1:58" x14ac:dyDescent="0.25">
      <c r="B9" s="1" t="s">
        <v>26</v>
      </c>
      <c r="C9" s="81">
        <v>42047</v>
      </c>
      <c r="D9" s="3">
        <v>12</v>
      </c>
      <c r="E9" s="41">
        <v>12.01</v>
      </c>
      <c r="F9" s="2">
        <v>0.20833333333333334</v>
      </c>
      <c r="G9" s="14">
        <v>0.20277777777777781</v>
      </c>
      <c r="H9" s="159">
        <v>143</v>
      </c>
      <c r="I9" s="147">
        <v>145</v>
      </c>
      <c r="J9" s="171">
        <v>4.0601851851851854E-2</v>
      </c>
      <c r="M9" s="2"/>
      <c r="N9" s="14"/>
      <c r="O9" s="159"/>
      <c r="P9" s="147"/>
      <c r="Q9" s="26"/>
      <c r="R9" s="44"/>
      <c r="S9" s="26"/>
      <c r="V9" s="2"/>
      <c r="W9" s="14"/>
      <c r="X9" s="159"/>
      <c r="Y9" s="147"/>
      <c r="Z9" s="15"/>
      <c r="AD9" s="159"/>
      <c r="AE9" s="147"/>
      <c r="AF9" s="4"/>
      <c r="AG9" s="13">
        <f t="shared" si="0"/>
        <v>12.01</v>
      </c>
      <c r="AH9" s="87">
        <f t="shared" si="1"/>
        <v>12</v>
      </c>
      <c r="AI9" s="27">
        <f t="shared" si="2"/>
        <v>9.9999999999997868E-3</v>
      </c>
      <c r="AJ9" s="63">
        <f t="shared" si="3"/>
        <v>4.0601851851851854E-2</v>
      </c>
      <c r="AK9" s="59"/>
      <c r="AL9"/>
      <c r="AM9" s="3"/>
      <c r="AU9"/>
      <c r="AY9"/>
      <c r="BA9"/>
      <c r="BC9"/>
      <c r="BF9" s="37"/>
    </row>
    <row r="10" spans="1:58" x14ac:dyDescent="0.25">
      <c r="A10" s="6">
        <v>7</v>
      </c>
      <c r="B10" s="1" t="s">
        <v>29</v>
      </c>
      <c r="C10" s="81">
        <v>42048</v>
      </c>
      <c r="D10" s="3">
        <v>10</v>
      </c>
      <c r="E10" s="41">
        <v>10.23</v>
      </c>
      <c r="F10" s="2"/>
      <c r="G10" s="14"/>
      <c r="H10" s="159">
        <v>130</v>
      </c>
      <c r="I10" s="147">
        <v>145</v>
      </c>
      <c r="J10" s="171">
        <v>3.4189814814814819E-2</v>
      </c>
      <c r="M10" s="2"/>
      <c r="N10" s="14"/>
      <c r="O10" s="159"/>
      <c r="P10" s="147"/>
      <c r="Q10" s="26"/>
      <c r="R10" s="44"/>
      <c r="S10" s="26"/>
      <c r="V10" s="2"/>
      <c r="W10" s="14"/>
      <c r="X10" s="159"/>
      <c r="Y10" s="147"/>
      <c r="Z10" s="15"/>
      <c r="AD10" s="159"/>
      <c r="AE10" s="147"/>
      <c r="AF10" s="4"/>
      <c r="AG10" s="13">
        <f t="shared" si="0"/>
        <v>10.23</v>
      </c>
      <c r="AH10" s="87">
        <f t="shared" si="1"/>
        <v>10</v>
      </c>
      <c r="AI10" s="27">
        <f t="shared" si="2"/>
        <v>0.23000000000000043</v>
      </c>
      <c r="AJ10" s="63">
        <f t="shared" si="3"/>
        <v>3.4189814814814819E-2</v>
      </c>
      <c r="AK10" s="59"/>
      <c r="AL10"/>
      <c r="AM10" s="3"/>
      <c r="AU10"/>
      <c r="AY10"/>
      <c r="BA10"/>
      <c r="BC10"/>
      <c r="BF10" s="37"/>
    </row>
    <row r="11" spans="1:58" x14ac:dyDescent="0.25">
      <c r="A11" s="6"/>
      <c r="B11" s="1" t="s">
        <v>15</v>
      </c>
      <c r="C11" s="81">
        <v>42046</v>
      </c>
      <c r="D11" s="3">
        <v>14</v>
      </c>
      <c r="E11" s="41">
        <v>14.07</v>
      </c>
      <c r="F11" s="2">
        <v>0.20833333333333334</v>
      </c>
      <c r="G11" s="14">
        <v>0.2076388888888889</v>
      </c>
      <c r="H11" s="159">
        <v>143</v>
      </c>
      <c r="I11" s="147">
        <v>143</v>
      </c>
      <c r="J11" s="171">
        <v>4.8645833333333333E-2</v>
      </c>
      <c r="M11" s="2"/>
      <c r="N11" s="14"/>
      <c r="O11" s="159"/>
      <c r="P11" s="147"/>
      <c r="Q11" s="26"/>
      <c r="R11" s="44"/>
      <c r="S11" s="26"/>
      <c r="V11" s="2"/>
      <c r="W11" s="14"/>
      <c r="X11" s="159"/>
      <c r="Y11" s="147"/>
      <c r="Z11" s="15"/>
      <c r="AD11" s="159"/>
      <c r="AE11" s="147"/>
      <c r="AF11" s="4"/>
      <c r="AG11" s="13">
        <f>E11+L11+U11+AA11+R11</f>
        <v>14.07</v>
      </c>
      <c r="AH11" s="87">
        <f>D11+K11+U11+AA11+R11</f>
        <v>14</v>
      </c>
      <c r="AI11" s="27">
        <f>AG11-AH11</f>
        <v>7.0000000000000284E-2</v>
      </c>
      <c r="AJ11" s="63">
        <f>J11+Q11+Z11+AF11+S11</f>
        <v>4.8645833333333333E-2</v>
      </c>
      <c r="AK11" s="59"/>
      <c r="AL11"/>
      <c r="AM11" s="3"/>
      <c r="AU11"/>
      <c r="AY11"/>
      <c r="BA11"/>
      <c r="BC11"/>
      <c r="BF11" s="37"/>
    </row>
    <row r="12" spans="1:58" x14ac:dyDescent="0.25">
      <c r="A12" s="6"/>
      <c r="B12" s="1" t="s">
        <v>24</v>
      </c>
      <c r="C12" s="81">
        <v>42045</v>
      </c>
      <c r="D12" s="3"/>
      <c r="F12" s="2"/>
      <c r="G12" s="14"/>
      <c r="H12" s="159"/>
      <c r="I12" s="147"/>
      <c r="J12" s="171"/>
      <c r="K12">
        <v>6</v>
      </c>
      <c r="L12" s="13">
        <v>6.01</v>
      </c>
      <c r="M12" s="2"/>
      <c r="N12" s="14">
        <v>0.20694444444444446</v>
      </c>
      <c r="O12" s="159">
        <v>143</v>
      </c>
      <c r="P12" s="147">
        <v>142</v>
      </c>
      <c r="Q12" s="26">
        <v>2.0752314814814814E-2</v>
      </c>
      <c r="R12" s="44"/>
      <c r="S12" s="26"/>
      <c r="V12" s="2"/>
      <c r="W12" s="14"/>
      <c r="X12" s="159"/>
      <c r="Y12" s="147"/>
      <c r="Z12" s="15"/>
      <c r="AA12">
        <v>6</v>
      </c>
      <c r="AB12" s="2">
        <v>0.16666666666666666</v>
      </c>
      <c r="AC12" s="14">
        <v>0.16805555555555554</v>
      </c>
      <c r="AD12" s="159">
        <v>170</v>
      </c>
      <c r="AE12" s="147">
        <v>163</v>
      </c>
      <c r="AF12" s="15">
        <v>1.6782407407407409E-2</v>
      </c>
      <c r="AG12" s="13">
        <f t="shared" si="0"/>
        <v>12.01</v>
      </c>
      <c r="AH12" s="87">
        <f t="shared" si="1"/>
        <v>12</v>
      </c>
      <c r="AI12" s="27">
        <f t="shared" si="2"/>
        <v>9.9999999999997868E-3</v>
      </c>
      <c r="AJ12" s="63">
        <f t="shared" si="3"/>
        <v>3.7534722222222219E-2</v>
      </c>
      <c r="AK12" s="59"/>
      <c r="AL12"/>
      <c r="AM12" s="3"/>
      <c r="AU12"/>
      <c r="AY12"/>
      <c r="BA12"/>
      <c r="BC12"/>
      <c r="BF12" s="37"/>
    </row>
    <row r="13" spans="1:58" x14ac:dyDescent="0.25">
      <c r="A13" s="56"/>
      <c r="B13" s="17" t="s">
        <v>27</v>
      </c>
      <c r="C13" s="85">
        <v>42050</v>
      </c>
      <c r="D13" s="19">
        <v>24</v>
      </c>
      <c r="E13" s="42">
        <v>41.44</v>
      </c>
      <c r="F13" s="21">
        <v>0.20833333333333334</v>
      </c>
      <c r="G13" s="22">
        <v>0.22916666666666666</v>
      </c>
      <c r="H13" s="160">
        <v>157</v>
      </c>
      <c r="I13" s="156">
        <v>135</v>
      </c>
      <c r="J13" s="172">
        <v>0.15835648148148149</v>
      </c>
      <c r="K13" s="18"/>
      <c r="L13" s="20"/>
      <c r="M13" s="21"/>
      <c r="N13" s="20"/>
      <c r="O13" s="160"/>
      <c r="P13" s="156"/>
      <c r="Q13" s="18"/>
      <c r="R13" s="45"/>
      <c r="S13" s="84"/>
      <c r="T13" s="31"/>
      <c r="U13" s="42"/>
      <c r="V13" s="21"/>
      <c r="W13" s="20"/>
      <c r="X13" s="160"/>
      <c r="Y13" s="156"/>
      <c r="Z13" s="24"/>
      <c r="AA13" s="18"/>
      <c r="AB13" s="18"/>
      <c r="AC13" s="20"/>
      <c r="AD13" s="160"/>
      <c r="AE13" s="156"/>
      <c r="AF13" s="24"/>
      <c r="AG13" s="20">
        <f t="shared" si="0"/>
        <v>41.44</v>
      </c>
      <c r="AH13" s="88">
        <f t="shared" si="1"/>
        <v>24</v>
      </c>
      <c r="AI13" s="34">
        <f t="shared" si="2"/>
        <v>17.439999999999998</v>
      </c>
      <c r="AJ13" s="58">
        <f t="shared" si="3"/>
        <v>0.15835648148148149</v>
      </c>
      <c r="AK13" s="57">
        <f>SUM(AG8:AG13)</f>
        <v>99.699999999999989</v>
      </c>
      <c r="AL13" s="21">
        <f>SUM(AJ8:AJ13)</f>
        <v>0.35439814814814818</v>
      </c>
      <c r="AM13" s="19"/>
      <c r="AN13" s="36"/>
      <c r="AO13" s="18"/>
      <c r="AP13" s="36"/>
      <c r="AQ13" s="18"/>
      <c r="AR13" s="36"/>
      <c r="AS13" s="18"/>
      <c r="AT13" s="36"/>
      <c r="AU13" s="18"/>
      <c r="AV13" s="36"/>
      <c r="AW13" s="18"/>
      <c r="AX13" s="36"/>
      <c r="AY13" s="18"/>
      <c r="AZ13" s="36"/>
      <c r="BA13" s="18"/>
      <c r="BB13" s="36"/>
      <c r="BC13" s="18"/>
      <c r="BD13" s="36"/>
      <c r="BE13" s="18"/>
      <c r="BF13" s="38"/>
    </row>
    <row r="14" spans="1:58" x14ac:dyDescent="0.25">
      <c r="B14" s="1" t="s">
        <v>0</v>
      </c>
      <c r="C14" s="81">
        <v>42051</v>
      </c>
      <c r="D14" s="3">
        <v>10</v>
      </c>
      <c r="F14" s="2"/>
      <c r="G14" s="14"/>
      <c r="H14" s="159">
        <v>130</v>
      </c>
      <c r="I14" s="147"/>
      <c r="J14" s="171"/>
      <c r="M14" s="2"/>
      <c r="N14" s="14"/>
      <c r="O14" s="159"/>
      <c r="P14" s="147"/>
      <c r="Q14" s="26"/>
      <c r="R14" s="44"/>
      <c r="S14" s="26"/>
      <c r="V14" s="2"/>
      <c r="W14" s="14"/>
      <c r="X14" s="159"/>
      <c r="Y14" s="147"/>
      <c r="Z14" s="15"/>
      <c r="AD14" s="159"/>
      <c r="AE14" s="147"/>
      <c r="AF14" s="4"/>
      <c r="AG14" s="13">
        <f t="shared" si="0"/>
        <v>0</v>
      </c>
      <c r="AH14" s="87">
        <f t="shared" si="1"/>
        <v>10</v>
      </c>
      <c r="AI14" s="27">
        <f t="shared" si="2"/>
        <v>-10</v>
      </c>
      <c r="AJ14" s="63">
        <f t="shared" si="3"/>
        <v>0</v>
      </c>
      <c r="AK14" s="59"/>
      <c r="AL14"/>
      <c r="AM14" s="3">
        <v>77.099999999999994</v>
      </c>
      <c r="AN14" s="9">
        <f>$AM$2-AM14</f>
        <v>3.6000000000000085</v>
      </c>
      <c r="AO14">
        <v>91</v>
      </c>
      <c r="AP14" s="9">
        <f>$AO$2-AO14</f>
        <v>1</v>
      </c>
      <c r="AQ14">
        <v>97</v>
      </c>
      <c r="AR14" s="9">
        <f>$AQ$2-AQ14</f>
        <v>-2</v>
      </c>
      <c r="AS14">
        <v>97</v>
      </c>
      <c r="AT14" s="9">
        <f>$AS$2-AS14</f>
        <v>1</v>
      </c>
      <c r="AU14">
        <v>58</v>
      </c>
      <c r="AV14" s="9">
        <f>$AU$2-AU14</f>
        <v>0</v>
      </c>
      <c r="AW14">
        <v>58</v>
      </c>
      <c r="AX14" s="9">
        <f>$AW$2-AW14</f>
        <v>0</v>
      </c>
      <c r="AY14">
        <v>42</v>
      </c>
      <c r="AZ14" s="9">
        <f>$AY$2-AY14</f>
        <v>-1</v>
      </c>
      <c r="BA14">
        <v>42</v>
      </c>
      <c r="BB14" s="9">
        <f>$BA$2-BA14</f>
        <v>-1</v>
      </c>
      <c r="BC14">
        <v>28</v>
      </c>
      <c r="BD14" s="9">
        <f>$BC$2-BC14</f>
        <v>2</v>
      </c>
      <c r="BE14">
        <v>28</v>
      </c>
      <c r="BF14" s="37">
        <f>$BE$2-BE14</f>
        <v>2</v>
      </c>
    </row>
    <row r="15" spans="1:58" x14ac:dyDescent="0.25">
      <c r="B15" s="1" t="s">
        <v>24</v>
      </c>
      <c r="C15" s="81">
        <v>42052</v>
      </c>
      <c r="D15" s="3">
        <v>12</v>
      </c>
      <c r="F15" s="2">
        <v>0.20833333333333334</v>
      </c>
      <c r="G15" s="14"/>
      <c r="H15" s="159">
        <v>143</v>
      </c>
      <c r="I15" s="147"/>
      <c r="J15" s="171"/>
      <c r="M15" s="2"/>
      <c r="N15" s="14"/>
      <c r="O15" s="159"/>
      <c r="P15" s="147"/>
      <c r="Q15" s="26"/>
      <c r="R15" s="44"/>
      <c r="S15" s="26"/>
      <c r="V15" s="2"/>
      <c r="W15" s="14"/>
      <c r="X15" s="159"/>
      <c r="Y15" s="147"/>
      <c r="Z15" s="15"/>
      <c r="AD15" s="159"/>
      <c r="AE15" s="147"/>
      <c r="AF15" s="4"/>
      <c r="AG15" s="13">
        <f t="shared" si="0"/>
        <v>0</v>
      </c>
      <c r="AH15" s="87">
        <f t="shared" si="1"/>
        <v>12</v>
      </c>
      <c r="AI15" s="27">
        <f t="shared" si="2"/>
        <v>-12</v>
      </c>
      <c r="AJ15" s="63">
        <f t="shared" si="3"/>
        <v>0</v>
      </c>
      <c r="AK15" s="59"/>
      <c r="AL15"/>
      <c r="AM15" s="3"/>
      <c r="AU15"/>
      <c r="AY15"/>
      <c r="BA15"/>
      <c r="BC15"/>
      <c r="BF15" s="37"/>
    </row>
    <row r="16" spans="1:58" x14ac:dyDescent="0.25">
      <c r="A16" s="6">
        <v>8</v>
      </c>
      <c r="B16" s="1" t="s">
        <v>15</v>
      </c>
      <c r="C16" s="81">
        <v>42053</v>
      </c>
      <c r="D16" s="3">
        <v>10</v>
      </c>
      <c r="F16" s="2"/>
      <c r="G16" s="14"/>
      <c r="H16" s="159">
        <v>130</v>
      </c>
      <c r="I16" s="147"/>
      <c r="J16" s="171"/>
      <c r="M16" s="2"/>
      <c r="N16" s="14"/>
      <c r="O16" s="159"/>
      <c r="P16" s="147"/>
      <c r="Q16" s="26"/>
      <c r="R16" s="44"/>
      <c r="S16" s="26"/>
      <c r="V16" s="2"/>
      <c r="W16" s="14"/>
      <c r="X16" s="159"/>
      <c r="Y16" s="147"/>
      <c r="Z16" s="15"/>
      <c r="AD16" s="159"/>
      <c r="AE16" s="147"/>
      <c r="AF16" s="4"/>
      <c r="AG16" s="13">
        <f t="shared" si="0"/>
        <v>0</v>
      </c>
      <c r="AH16" s="87">
        <f t="shared" si="1"/>
        <v>10</v>
      </c>
      <c r="AI16" s="27">
        <f t="shared" si="2"/>
        <v>-10</v>
      </c>
      <c r="AJ16" s="63">
        <f t="shared" si="3"/>
        <v>0</v>
      </c>
      <c r="AK16" s="59"/>
      <c r="AL16"/>
      <c r="AM16" s="3"/>
      <c r="AU16"/>
      <c r="AY16"/>
      <c r="BA16"/>
      <c r="BC16"/>
      <c r="BF16" s="37"/>
    </row>
    <row r="17" spans="1:58" x14ac:dyDescent="0.25">
      <c r="A17" s="6"/>
      <c r="B17" s="1" t="s">
        <v>26</v>
      </c>
      <c r="C17" s="81">
        <v>42054</v>
      </c>
      <c r="D17" s="3">
        <v>14</v>
      </c>
      <c r="F17" s="2">
        <v>0.20833333333333334</v>
      </c>
      <c r="G17" s="14"/>
      <c r="H17" s="159">
        <v>143</v>
      </c>
      <c r="I17" s="147"/>
      <c r="J17" s="171"/>
      <c r="M17" s="2"/>
      <c r="N17" s="14"/>
      <c r="O17" s="159"/>
      <c r="P17" s="147"/>
      <c r="Q17" s="26"/>
      <c r="R17" s="44"/>
      <c r="S17" s="26"/>
      <c r="V17" s="2"/>
      <c r="W17" s="14"/>
      <c r="X17" s="159"/>
      <c r="Y17" s="147"/>
      <c r="Z17" s="15"/>
      <c r="AD17" s="159"/>
      <c r="AE17" s="147"/>
      <c r="AF17" s="4"/>
      <c r="AG17" s="13">
        <f>E17+L17+U17+AA17+R17</f>
        <v>0</v>
      </c>
      <c r="AH17" s="87">
        <f>D17+K17+U17+AA17+R17</f>
        <v>14</v>
      </c>
      <c r="AI17" s="27">
        <f>AG17-AH17</f>
        <v>-14</v>
      </c>
      <c r="AJ17" s="63">
        <f>J17+Q17+Z17+AF17+S17</f>
        <v>0</v>
      </c>
      <c r="AK17" s="59"/>
      <c r="AL17"/>
      <c r="AM17" s="3"/>
      <c r="AU17"/>
      <c r="AY17"/>
      <c r="BA17"/>
      <c r="BC17"/>
      <c r="BF17" s="37"/>
    </row>
    <row r="18" spans="1:58" x14ac:dyDescent="0.25">
      <c r="A18" s="6"/>
      <c r="B18" s="1" t="s">
        <v>29</v>
      </c>
      <c r="C18" s="81">
        <v>42055</v>
      </c>
      <c r="D18" s="3"/>
      <c r="F18" s="2"/>
      <c r="G18" s="14"/>
      <c r="H18" s="159"/>
      <c r="I18" s="147"/>
      <c r="J18" s="171"/>
      <c r="K18">
        <v>6</v>
      </c>
      <c r="M18" s="2"/>
      <c r="N18" s="14"/>
      <c r="O18" s="159">
        <v>143</v>
      </c>
      <c r="P18" s="147"/>
      <c r="Q18" s="26"/>
      <c r="R18" s="44"/>
      <c r="S18" s="26">
        <v>4.1666666666666666E-3</v>
      </c>
      <c r="T18" s="30" t="s">
        <v>32</v>
      </c>
      <c r="U18" s="41">
        <v>8</v>
      </c>
      <c r="V18" s="2">
        <v>0.16666666666666666</v>
      </c>
      <c r="W18" s="14"/>
      <c r="X18" s="159">
        <v>170</v>
      </c>
      <c r="Y18" s="147"/>
      <c r="Z18" s="15"/>
      <c r="AD18" s="159"/>
      <c r="AE18" s="147"/>
      <c r="AF18" s="4"/>
      <c r="AG18" s="13">
        <f t="shared" si="0"/>
        <v>8</v>
      </c>
      <c r="AH18" s="87">
        <f t="shared" si="1"/>
        <v>14</v>
      </c>
      <c r="AI18" s="27">
        <f t="shared" si="2"/>
        <v>-6</v>
      </c>
      <c r="AJ18" s="63">
        <f t="shared" si="3"/>
        <v>4.1666666666666666E-3</v>
      </c>
      <c r="AK18" s="59"/>
      <c r="AL18"/>
      <c r="AM18" s="3"/>
      <c r="AU18"/>
      <c r="AY18"/>
      <c r="BA18"/>
      <c r="BC18"/>
      <c r="BF18" s="37"/>
    </row>
    <row r="19" spans="1:58" x14ac:dyDescent="0.25">
      <c r="A19" s="56"/>
      <c r="B19" s="17" t="s">
        <v>27</v>
      </c>
      <c r="C19" s="85">
        <v>42057</v>
      </c>
      <c r="D19" s="19">
        <v>26</v>
      </c>
      <c r="E19" s="42"/>
      <c r="F19" s="21">
        <v>0.20833333333333334</v>
      </c>
      <c r="G19" s="22"/>
      <c r="H19" s="160">
        <v>157</v>
      </c>
      <c r="I19" s="156"/>
      <c r="J19" s="172"/>
      <c r="K19" s="18"/>
      <c r="L19" s="20"/>
      <c r="M19" s="18"/>
      <c r="N19" s="20"/>
      <c r="O19" s="160"/>
      <c r="P19" s="156"/>
      <c r="Q19" s="18"/>
      <c r="R19" s="45"/>
      <c r="S19" s="84"/>
      <c r="T19" s="31"/>
      <c r="U19" s="42"/>
      <c r="V19" s="18"/>
      <c r="W19" s="20"/>
      <c r="X19" s="160"/>
      <c r="Y19" s="156"/>
      <c r="Z19" s="24"/>
      <c r="AA19" s="18"/>
      <c r="AB19" s="18"/>
      <c r="AC19" s="20"/>
      <c r="AD19" s="160"/>
      <c r="AE19" s="156"/>
      <c r="AF19" s="24"/>
      <c r="AG19" s="20">
        <f t="shared" si="0"/>
        <v>0</v>
      </c>
      <c r="AH19" s="88">
        <f t="shared" si="1"/>
        <v>26</v>
      </c>
      <c r="AI19" s="34">
        <f t="shared" si="2"/>
        <v>-26</v>
      </c>
      <c r="AJ19" s="58">
        <f t="shared" si="3"/>
        <v>0</v>
      </c>
      <c r="AK19" s="57">
        <f>SUM(AG14:AG19)</f>
        <v>8</v>
      </c>
      <c r="AL19" s="21">
        <f>SUM(AJ14:AJ19)</f>
        <v>4.1666666666666666E-3</v>
      </c>
      <c r="AM19" s="19"/>
      <c r="AN19" s="36"/>
      <c r="AO19" s="18"/>
      <c r="AP19" s="36"/>
      <c r="AQ19" s="18"/>
      <c r="AR19" s="36"/>
      <c r="AS19" s="18"/>
      <c r="AT19" s="36"/>
      <c r="AU19" s="18"/>
      <c r="AV19" s="36"/>
      <c r="AW19" s="18"/>
      <c r="AX19" s="36"/>
      <c r="AY19" s="18"/>
      <c r="AZ19" s="36"/>
      <c r="BA19" s="18"/>
      <c r="BB19" s="36"/>
      <c r="BC19" s="18"/>
      <c r="BD19" s="36"/>
      <c r="BE19" s="18"/>
      <c r="BF19" s="38"/>
    </row>
    <row r="20" spans="1:58" x14ac:dyDescent="0.25">
      <c r="B20" s="1" t="s">
        <v>0</v>
      </c>
      <c r="C20" s="81">
        <v>42058</v>
      </c>
      <c r="D20" s="3">
        <v>8</v>
      </c>
      <c r="F20" s="2"/>
      <c r="G20" s="14"/>
      <c r="H20" s="159">
        <v>130</v>
      </c>
      <c r="I20" s="147"/>
      <c r="J20" s="171"/>
      <c r="M20" s="2"/>
      <c r="N20" s="14"/>
      <c r="O20" s="159"/>
      <c r="P20" s="147"/>
      <c r="Q20" s="26"/>
      <c r="R20" s="44"/>
      <c r="S20" s="26"/>
      <c r="V20" s="2"/>
      <c r="W20" s="14"/>
      <c r="X20" s="159"/>
      <c r="Y20" s="147"/>
      <c r="Z20" s="15"/>
      <c r="AD20" s="159"/>
      <c r="AE20" s="147"/>
      <c r="AF20" s="4"/>
      <c r="AG20" s="13">
        <f t="shared" si="0"/>
        <v>0</v>
      </c>
      <c r="AH20" s="87">
        <f t="shared" si="1"/>
        <v>8</v>
      </c>
      <c r="AI20" s="27">
        <f t="shared" si="2"/>
        <v>-8</v>
      </c>
      <c r="AJ20" s="63">
        <f t="shared" si="3"/>
        <v>0</v>
      </c>
      <c r="AK20" s="59"/>
      <c r="AL20"/>
      <c r="AM20" s="3"/>
      <c r="AN20" s="9">
        <f>$AM$2-AM20</f>
        <v>80.7</v>
      </c>
      <c r="AP20" s="9">
        <f>$AO$2-AO20</f>
        <v>92</v>
      </c>
      <c r="AR20" s="9">
        <f>$AQ$2-AQ20</f>
        <v>95</v>
      </c>
      <c r="AT20" s="9">
        <f>$AS$2-AS20</f>
        <v>98</v>
      </c>
      <c r="AU20"/>
      <c r="AV20" s="9">
        <f>$AU$2-AU20</f>
        <v>58</v>
      </c>
      <c r="AX20" s="9">
        <f>$AW$2-AW20</f>
        <v>58</v>
      </c>
      <c r="AY20"/>
      <c r="AZ20" s="9">
        <f>$AY$2-AY20</f>
        <v>41</v>
      </c>
      <c r="BA20"/>
      <c r="BB20" s="9">
        <f>$BA$2-BA20</f>
        <v>41</v>
      </c>
      <c r="BC20"/>
      <c r="BD20" s="9">
        <f>$BC$2-BC20</f>
        <v>30</v>
      </c>
      <c r="BF20" s="37">
        <f>$BE$2-BE20</f>
        <v>30</v>
      </c>
    </row>
    <row r="21" spans="1:58" x14ac:dyDescent="0.25">
      <c r="B21" s="1" t="s">
        <v>24</v>
      </c>
      <c r="C21" s="81">
        <v>42059</v>
      </c>
      <c r="D21" s="3">
        <v>10</v>
      </c>
      <c r="F21" s="2">
        <v>0.20833333333333334</v>
      </c>
      <c r="G21" s="14"/>
      <c r="H21" s="159">
        <v>143</v>
      </c>
      <c r="I21" s="147"/>
      <c r="J21" s="171"/>
      <c r="M21" s="2"/>
      <c r="N21" s="14"/>
      <c r="O21" s="159"/>
      <c r="P21" s="147"/>
      <c r="Q21" s="26"/>
      <c r="R21" s="44"/>
      <c r="S21" s="26"/>
      <c r="V21" s="2"/>
      <c r="W21" s="14"/>
      <c r="X21" s="159"/>
      <c r="Y21" s="147"/>
      <c r="Z21" s="15"/>
      <c r="AD21" s="159"/>
      <c r="AE21" s="147"/>
      <c r="AF21" s="4"/>
      <c r="AG21" s="13">
        <f t="shared" si="0"/>
        <v>0</v>
      </c>
      <c r="AH21" s="87">
        <f t="shared" si="1"/>
        <v>10</v>
      </c>
      <c r="AI21" s="27">
        <f t="shared" si="2"/>
        <v>-10</v>
      </c>
      <c r="AJ21" s="63">
        <f t="shared" si="3"/>
        <v>0</v>
      </c>
      <c r="AK21" s="59"/>
      <c r="AL21"/>
      <c r="AM21" s="3"/>
      <c r="AU21"/>
      <c r="AY21"/>
      <c r="BA21"/>
      <c r="BC21"/>
      <c r="BF21" s="37"/>
    </row>
    <row r="22" spans="1:58" x14ac:dyDescent="0.25">
      <c r="A22" s="6">
        <v>9</v>
      </c>
      <c r="B22" s="1" t="s">
        <v>15</v>
      </c>
      <c r="C22" s="81">
        <v>42060</v>
      </c>
      <c r="D22" s="3">
        <v>8</v>
      </c>
      <c r="F22" s="2"/>
      <c r="G22" s="14"/>
      <c r="H22" s="159">
        <v>130</v>
      </c>
      <c r="I22" s="147"/>
      <c r="J22" s="171"/>
      <c r="M22" s="2"/>
      <c r="N22" s="14"/>
      <c r="O22" s="159"/>
      <c r="P22" s="147"/>
      <c r="Q22" s="26"/>
      <c r="R22" s="44"/>
      <c r="S22" s="26"/>
      <c r="V22" s="2"/>
      <c r="W22" s="14"/>
      <c r="X22" s="159"/>
      <c r="Y22" s="147"/>
      <c r="Z22" s="15"/>
      <c r="AD22" s="159"/>
      <c r="AE22" s="147"/>
      <c r="AF22" s="4"/>
      <c r="AG22" s="13">
        <f t="shared" si="0"/>
        <v>0</v>
      </c>
      <c r="AH22" s="87">
        <f t="shared" si="1"/>
        <v>8</v>
      </c>
      <c r="AI22" s="27">
        <f t="shared" si="2"/>
        <v>-8</v>
      </c>
      <c r="AJ22" s="63">
        <f t="shared" si="3"/>
        <v>0</v>
      </c>
      <c r="AK22" s="59"/>
      <c r="AL22"/>
      <c r="AM22" s="3"/>
      <c r="AU22"/>
      <c r="AY22"/>
      <c r="BA22"/>
      <c r="BC22"/>
      <c r="BF22" s="37"/>
    </row>
    <row r="23" spans="1:58" x14ac:dyDescent="0.25">
      <c r="A23" s="6"/>
      <c r="B23" s="1" t="s">
        <v>26</v>
      </c>
      <c r="C23" s="81">
        <v>42061</v>
      </c>
      <c r="D23" s="3">
        <v>10</v>
      </c>
      <c r="F23" s="2">
        <v>0.20833333333333334</v>
      </c>
      <c r="G23" s="14"/>
      <c r="H23" s="159">
        <v>143</v>
      </c>
      <c r="I23" s="147"/>
      <c r="J23" s="171"/>
      <c r="M23" s="2"/>
      <c r="N23" s="14"/>
      <c r="O23" s="159"/>
      <c r="P23" s="147"/>
      <c r="Q23" s="26"/>
      <c r="R23" s="44"/>
      <c r="S23" s="26"/>
      <c r="V23" s="2"/>
      <c r="W23" s="14"/>
      <c r="X23" s="159"/>
      <c r="Y23" s="147"/>
      <c r="Z23" s="15"/>
      <c r="AD23" s="159"/>
      <c r="AE23" s="147"/>
      <c r="AF23" s="4"/>
      <c r="AG23" s="13">
        <f>E23+L23+U23+AA23+R23</f>
        <v>0</v>
      </c>
      <c r="AH23" s="87">
        <f>D23+K23+U23+AA23+R23</f>
        <v>10</v>
      </c>
      <c r="AI23" s="27">
        <f>AG23-AH23</f>
        <v>-10</v>
      </c>
      <c r="AJ23" s="63">
        <f>J23+Q23+Z23+AF23+S23</f>
        <v>0</v>
      </c>
      <c r="AK23" s="59"/>
      <c r="AL23"/>
      <c r="AM23" s="3"/>
      <c r="AU23"/>
      <c r="AY23"/>
      <c r="BA23"/>
      <c r="BC23"/>
      <c r="BF23" s="37"/>
    </row>
    <row r="24" spans="1:58" x14ac:dyDescent="0.25">
      <c r="A24" s="6"/>
      <c r="B24" s="1" t="s">
        <v>29</v>
      </c>
      <c r="C24" s="81">
        <v>42062</v>
      </c>
      <c r="D24" s="3">
        <v>10</v>
      </c>
      <c r="F24" s="2">
        <v>0.20833333333333334</v>
      </c>
      <c r="G24" s="14"/>
      <c r="H24" s="159">
        <v>143</v>
      </c>
      <c r="I24" s="147"/>
      <c r="J24" s="171"/>
      <c r="M24" s="2"/>
      <c r="N24" s="14"/>
      <c r="O24" s="159"/>
      <c r="P24" s="147"/>
      <c r="Q24" s="26"/>
      <c r="R24" s="44"/>
      <c r="S24" s="26"/>
      <c r="V24" s="2"/>
      <c r="W24" s="14"/>
      <c r="X24" s="159"/>
      <c r="Y24" s="147"/>
      <c r="Z24" s="15"/>
      <c r="AD24" s="159"/>
      <c r="AE24" s="147"/>
      <c r="AF24" s="4"/>
      <c r="AG24" s="13">
        <f t="shared" si="0"/>
        <v>0</v>
      </c>
      <c r="AH24" s="87">
        <f t="shared" si="1"/>
        <v>10</v>
      </c>
      <c r="AI24" s="27">
        <f t="shared" si="2"/>
        <v>-10</v>
      </c>
      <c r="AJ24" s="63">
        <f t="shared" si="3"/>
        <v>0</v>
      </c>
      <c r="AK24" s="59"/>
      <c r="AL24"/>
      <c r="AM24" s="3"/>
      <c r="AU24"/>
      <c r="AY24"/>
      <c r="BA24"/>
      <c r="BC24"/>
      <c r="BF24" s="37"/>
    </row>
    <row r="25" spans="1:58" x14ac:dyDescent="0.25">
      <c r="A25" s="56"/>
      <c r="B25" s="17" t="s">
        <v>27</v>
      </c>
      <c r="C25" s="85">
        <v>42064</v>
      </c>
      <c r="D25" s="19">
        <v>22</v>
      </c>
      <c r="E25" s="42"/>
      <c r="F25" s="21">
        <v>0.20833333333333334</v>
      </c>
      <c r="G25" s="22"/>
      <c r="H25" s="160">
        <v>157</v>
      </c>
      <c r="I25" s="156"/>
      <c r="J25" s="172"/>
      <c r="K25" s="18"/>
      <c r="L25" s="20"/>
      <c r="M25" s="18"/>
      <c r="N25" s="20"/>
      <c r="O25" s="160"/>
      <c r="P25" s="156"/>
      <c r="Q25" s="18"/>
      <c r="R25" s="45"/>
      <c r="S25" s="84"/>
      <c r="T25" s="31"/>
      <c r="U25" s="42"/>
      <c r="V25" s="18"/>
      <c r="W25" s="20"/>
      <c r="X25" s="160"/>
      <c r="Y25" s="156"/>
      <c r="Z25" s="24"/>
      <c r="AA25" s="18"/>
      <c r="AB25" s="18"/>
      <c r="AC25" s="20"/>
      <c r="AD25" s="160"/>
      <c r="AE25" s="156"/>
      <c r="AF25" s="24"/>
      <c r="AG25" s="20">
        <f t="shared" si="0"/>
        <v>0</v>
      </c>
      <c r="AH25" s="88">
        <f t="shared" si="1"/>
        <v>22</v>
      </c>
      <c r="AI25" s="34">
        <f t="shared" si="2"/>
        <v>-22</v>
      </c>
      <c r="AJ25" s="58">
        <f t="shared" si="3"/>
        <v>0</v>
      </c>
      <c r="AK25" s="57">
        <f>SUM(AG20:AG25)</f>
        <v>0</v>
      </c>
      <c r="AL25" s="21">
        <f>SUM(AJ20:AJ25)</f>
        <v>0</v>
      </c>
      <c r="AM25" s="19"/>
      <c r="AN25" s="36"/>
      <c r="AO25" s="18"/>
      <c r="AP25" s="36"/>
      <c r="AQ25" s="18"/>
      <c r="AR25" s="36"/>
      <c r="AS25" s="18"/>
      <c r="AT25" s="36"/>
      <c r="AU25" s="18"/>
      <c r="AV25" s="36"/>
      <c r="AW25" s="18"/>
      <c r="AX25" s="36"/>
      <c r="AY25" s="18"/>
      <c r="AZ25" s="36"/>
      <c r="BA25" s="18"/>
      <c r="BB25" s="36"/>
      <c r="BC25" s="18"/>
      <c r="BD25" s="36"/>
      <c r="BE25" s="18"/>
      <c r="BF25" s="38"/>
    </row>
    <row r="26" spans="1:58" x14ac:dyDescent="0.25">
      <c r="B26" s="1" t="s">
        <v>0</v>
      </c>
      <c r="C26" s="81">
        <v>42065</v>
      </c>
      <c r="D26" s="3">
        <v>10</v>
      </c>
      <c r="F26" s="2"/>
      <c r="G26" s="14"/>
      <c r="H26" s="159">
        <v>130</v>
      </c>
      <c r="I26" s="147"/>
      <c r="J26" s="171"/>
      <c r="M26" s="2"/>
      <c r="N26" s="14"/>
      <c r="O26" s="159"/>
      <c r="P26" s="147"/>
      <c r="Q26" s="26"/>
      <c r="R26" s="44"/>
      <c r="S26" s="26"/>
      <c r="V26" s="2"/>
      <c r="W26" s="14"/>
      <c r="X26" s="159"/>
      <c r="Y26" s="147"/>
      <c r="Z26" s="15"/>
      <c r="AD26" s="159"/>
      <c r="AE26" s="147"/>
      <c r="AF26" s="4"/>
      <c r="AG26" s="13">
        <f t="shared" si="0"/>
        <v>0</v>
      </c>
      <c r="AH26" s="87">
        <f t="shared" si="1"/>
        <v>10</v>
      </c>
      <c r="AI26" s="27">
        <f t="shared" si="2"/>
        <v>-10</v>
      </c>
      <c r="AJ26" s="63">
        <f t="shared" si="3"/>
        <v>0</v>
      </c>
      <c r="AK26" s="59"/>
      <c r="AL26"/>
      <c r="AM26" s="3"/>
      <c r="AN26" s="9">
        <f>$AM$2-AM26</f>
        <v>80.7</v>
      </c>
      <c r="AP26" s="9">
        <f>$AO$2-AO26</f>
        <v>92</v>
      </c>
      <c r="AR26" s="9">
        <f>$AQ$2-AQ26</f>
        <v>95</v>
      </c>
      <c r="AT26" s="9">
        <f>$AS$2-AS26</f>
        <v>98</v>
      </c>
      <c r="AU26"/>
      <c r="AV26" s="9">
        <f>$AU$2-AU26</f>
        <v>58</v>
      </c>
      <c r="AX26" s="9">
        <f>$AW$2-AW26</f>
        <v>58</v>
      </c>
      <c r="AY26"/>
      <c r="AZ26" s="9">
        <f>$AY$2-AY26</f>
        <v>41</v>
      </c>
      <c r="BA26"/>
      <c r="BB26" s="9">
        <f>$BA$2-BA26</f>
        <v>41</v>
      </c>
      <c r="BC26"/>
      <c r="BD26" s="9">
        <f>$BC$2-BC26</f>
        <v>30</v>
      </c>
      <c r="BF26" s="37">
        <f>$BE$2-BE26</f>
        <v>30</v>
      </c>
    </row>
    <row r="27" spans="1:58" x14ac:dyDescent="0.25">
      <c r="B27" s="1" t="s">
        <v>24</v>
      </c>
      <c r="C27" s="81">
        <v>42066</v>
      </c>
      <c r="D27" s="3"/>
      <c r="F27" s="2"/>
      <c r="G27" s="14"/>
      <c r="H27" s="159"/>
      <c r="I27" s="147"/>
      <c r="J27" s="171"/>
      <c r="K27">
        <v>6</v>
      </c>
      <c r="M27" s="2"/>
      <c r="N27" s="14"/>
      <c r="O27" s="159">
        <v>143</v>
      </c>
      <c r="P27" s="147"/>
      <c r="Q27" s="26"/>
      <c r="R27" s="44"/>
      <c r="S27" s="26">
        <v>1.1805555555555555E-2</v>
      </c>
      <c r="T27" s="30" t="s">
        <v>28</v>
      </c>
      <c r="U27" s="41">
        <v>6</v>
      </c>
      <c r="V27" s="2">
        <v>0.15486111111111112</v>
      </c>
      <c r="W27" s="14"/>
      <c r="X27" s="159">
        <v>184</v>
      </c>
      <c r="Y27" s="147"/>
      <c r="Z27" s="15"/>
      <c r="AD27" s="159"/>
      <c r="AE27" s="147"/>
      <c r="AF27" s="4"/>
      <c r="AG27" s="13">
        <f t="shared" si="0"/>
        <v>6</v>
      </c>
      <c r="AH27" s="87">
        <f t="shared" si="1"/>
        <v>12</v>
      </c>
      <c r="AI27" s="27">
        <f t="shared" si="2"/>
        <v>-6</v>
      </c>
      <c r="AJ27" s="63">
        <f t="shared" si="3"/>
        <v>1.1805555555555555E-2</v>
      </c>
      <c r="AK27" s="59"/>
      <c r="AL27"/>
      <c r="AM27" s="3"/>
      <c r="AU27"/>
      <c r="AY27"/>
      <c r="BA27"/>
      <c r="BC27"/>
      <c r="BF27" s="37"/>
    </row>
    <row r="28" spans="1:58" x14ac:dyDescent="0.25">
      <c r="A28" s="6">
        <v>10</v>
      </c>
      <c r="B28" s="1" t="s">
        <v>15</v>
      </c>
      <c r="C28" s="81">
        <v>42067</v>
      </c>
      <c r="D28" s="3">
        <v>10</v>
      </c>
      <c r="F28" s="2"/>
      <c r="G28" s="14"/>
      <c r="H28" s="159">
        <v>130</v>
      </c>
      <c r="I28" s="147"/>
      <c r="J28" s="171"/>
      <c r="M28" s="2"/>
      <c r="N28" s="14"/>
      <c r="O28" s="159"/>
      <c r="P28" s="147"/>
      <c r="Q28" s="26"/>
      <c r="R28" s="44"/>
      <c r="S28" s="26"/>
      <c r="V28" s="2"/>
      <c r="W28" s="14"/>
      <c r="X28" s="159"/>
      <c r="Y28" s="147"/>
      <c r="Z28" s="15"/>
      <c r="AD28" s="159"/>
      <c r="AE28" s="147"/>
      <c r="AF28" s="4"/>
      <c r="AG28" s="13">
        <f t="shared" si="0"/>
        <v>0</v>
      </c>
      <c r="AH28" s="87">
        <f t="shared" si="1"/>
        <v>10</v>
      </c>
      <c r="AI28" s="27">
        <f t="shared" si="2"/>
        <v>-10</v>
      </c>
      <c r="AJ28" s="63">
        <f t="shared" si="3"/>
        <v>0</v>
      </c>
      <c r="AK28" s="59"/>
      <c r="AL28"/>
      <c r="AM28" s="3"/>
      <c r="AU28"/>
      <c r="AY28"/>
      <c r="BA28"/>
      <c r="BC28"/>
      <c r="BF28" s="37"/>
    </row>
    <row r="29" spans="1:58" x14ac:dyDescent="0.25">
      <c r="A29" s="6"/>
      <c r="B29" s="1" t="s">
        <v>26</v>
      </c>
      <c r="C29" s="81">
        <v>42068</v>
      </c>
      <c r="D29" s="3">
        <v>12</v>
      </c>
      <c r="F29" s="2">
        <v>0.20833333333333334</v>
      </c>
      <c r="G29" s="14"/>
      <c r="H29" s="159">
        <v>143</v>
      </c>
      <c r="I29" s="147"/>
      <c r="J29" s="171"/>
      <c r="M29" s="2"/>
      <c r="N29" s="14"/>
      <c r="O29" s="159"/>
      <c r="P29" s="147"/>
      <c r="Q29" s="26"/>
      <c r="R29" s="44"/>
      <c r="S29" s="26"/>
      <c r="V29" s="2"/>
      <c r="W29" s="14"/>
      <c r="X29" s="159"/>
      <c r="Y29" s="147"/>
      <c r="Z29" s="15"/>
      <c r="AD29" s="159"/>
      <c r="AE29" s="147"/>
      <c r="AF29" s="4"/>
      <c r="AG29" s="13">
        <f>E29+L29+U29+AA29+R29</f>
        <v>0</v>
      </c>
      <c r="AH29" s="87">
        <f>D29+K29+U29+AA29+R29</f>
        <v>12</v>
      </c>
      <c r="AI29" s="27">
        <f>AG29-AH29</f>
        <v>-12</v>
      </c>
      <c r="AJ29" s="63">
        <f>J29+Q29+Z29+AF29+S29</f>
        <v>0</v>
      </c>
      <c r="AK29" s="59"/>
      <c r="AL29"/>
      <c r="AM29" s="3"/>
      <c r="AU29"/>
      <c r="AY29"/>
      <c r="BA29"/>
      <c r="BC29"/>
      <c r="BF29" s="37"/>
    </row>
    <row r="30" spans="1:58" x14ac:dyDescent="0.25">
      <c r="A30" s="6"/>
      <c r="B30" s="1" t="s">
        <v>29</v>
      </c>
      <c r="C30" s="81">
        <v>42069</v>
      </c>
      <c r="D30" s="3">
        <v>16</v>
      </c>
      <c r="F30" s="2">
        <v>0.20833333333333334</v>
      </c>
      <c r="G30" s="14"/>
      <c r="H30" s="159">
        <v>143</v>
      </c>
      <c r="I30" s="147"/>
      <c r="J30" s="171"/>
      <c r="M30" s="2"/>
      <c r="N30" s="14"/>
      <c r="O30" s="159"/>
      <c r="P30" s="147"/>
      <c r="Q30" s="26"/>
      <c r="R30" s="44"/>
      <c r="S30" s="26"/>
      <c r="V30" s="2"/>
      <c r="W30" s="14"/>
      <c r="X30" s="159"/>
      <c r="Y30" s="147"/>
      <c r="Z30" s="15"/>
      <c r="AD30" s="159"/>
      <c r="AE30" s="147"/>
      <c r="AF30" s="4"/>
      <c r="AG30" s="13">
        <f t="shared" si="0"/>
        <v>0</v>
      </c>
      <c r="AH30" s="87">
        <f t="shared" si="1"/>
        <v>16</v>
      </c>
      <c r="AI30" s="27">
        <f t="shared" si="2"/>
        <v>-16</v>
      </c>
      <c r="AJ30" s="63">
        <f t="shared" si="3"/>
        <v>0</v>
      </c>
      <c r="AK30" s="59"/>
      <c r="AL30"/>
      <c r="AM30" s="3"/>
      <c r="AU30"/>
      <c r="AY30"/>
      <c r="BA30"/>
      <c r="BC30"/>
      <c r="BF30" s="37"/>
    </row>
    <row r="31" spans="1:58" x14ac:dyDescent="0.25">
      <c r="A31" s="56"/>
      <c r="B31" s="17" t="s">
        <v>27</v>
      </c>
      <c r="C31" s="85">
        <v>42071</v>
      </c>
      <c r="D31" s="19">
        <v>26</v>
      </c>
      <c r="E31" s="42"/>
      <c r="F31" s="21">
        <v>0.20833333333333334</v>
      </c>
      <c r="G31" s="22"/>
      <c r="H31" s="160">
        <v>157</v>
      </c>
      <c r="I31" s="156"/>
      <c r="J31" s="172"/>
      <c r="K31" s="18"/>
      <c r="L31" s="20"/>
      <c r="M31" s="18"/>
      <c r="N31" s="20"/>
      <c r="O31" s="160"/>
      <c r="P31" s="156"/>
      <c r="Q31" s="18"/>
      <c r="R31" s="45"/>
      <c r="S31" s="84"/>
      <c r="T31" s="31"/>
      <c r="U31" s="42"/>
      <c r="V31" s="18"/>
      <c r="W31" s="20"/>
      <c r="X31" s="160"/>
      <c r="Y31" s="156"/>
      <c r="Z31" s="24"/>
      <c r="AA31" s="18"/>
      <c r="AB31" s="18"/>
      <c r="AC31" s="20"/>
      <c r="AD31" s="160"/>
      <c r="AE31" s="156"/>
      <c r="AF31" s="24"/>
      <c r="AG31" s="20">
        <f t="shared" si="0"/>
        <v>0</v>
      </c>
      <c r="AH31" s="88">
        <f t="shared" si="1"/>
        <v>26</v>
      </c>
      <c r="AI31" s="34">
        <f t="shared" si="2"/>
        <v>-26</v>
      </c>
      <c r="AJ31" s="58">
        <f t="shared" si="3"/>
        <v>0</v>
      </c>
      <c r="AK31" s="57">
        <f>SUM(AG26:AG31)</f>
        <v>6</v>
      </c>
      <c r="AL31" s="21">
        <f>SUM(AJ26:AJ31)</f>
        <v>1.1805555555555555E-2</v>
      </c>
      <c r="AM31" s="19"/>
      <c r="AN31" s="36"/>
      <c r="AO31" s="18"/>
      <c r="AP31" s="36"/>
      <c r="AQ31" s="18"/>
      <c r="AR31" s="36"/>
      <c r="AS31" s="18"/>
      <c r="AT31" s="36"/>
      <c r="AU31" s="18"/>
      <c r="AV31" s="36"/>
      <c r="AW31" s="18"/>
      <c r="AX31" s="36"/>
      <c r="AY31" s="18"/>
      <c r="AZ31" s="36"/>
      <c r="BA31" s="18"/>
      <c r="BB31" s="36"/>
      <c r="BC31" s="18"/>
      <c r="BD31" s="36"/>
      <c r="BE31" s="18"/>
      <c r="BF31" s="38"/>
    </row>
    <row r="32" spans="1:58" x14ac:dyDescent="0.25">
      <c r="A32" s="6"/>
      <c r="B32" s="1" t="s">
        <v>0</v>
      </c>
      <c r="C32" s="81">
        <v>42072</v>
      </c>
      <c r="D32" s="3">
        <v>10</v>
      </c>
      <c r="F32" s="2"/>
      <c r="G32" s="14"/>
      <c r="H32" s="159">
        <v>130</v>
      </c>
      <c r="I32" s="147"/>
      <c r="J32" s="171"/>
      <c r="M32" s="2"/>
      <c r="N32" s="14"/>
      <c r="O32" s="159"/>
      <c r="P32" s="147"/>
      <c r="Q32" s="26"/>
      <c r="R32" s="44"/>
      <c r="S32" s="26"/>
      <c r="V32" s="2"/>
      <c r="W32" s="14"/>
      <c r="X32" s="159"/>
      <c r="Y32" s="147"/>
      <c r="Z32" s="15"/>
      <c r="AD32" s="159"/>
      <c r="AE32" s="147"/>
      <c r="AF32" s="4"/>
      <c r="AG32" s="13">
        <f t="shared" si="0"/>
        <v>0</v>
      </c>
      <c r="AH32" s="87">
        <f t="shared" si="1"/>
        <v>10</v>
      </c>
      <c r="AI32" s="27">
        <f t="shared" si="2"/>
        <v>-10</v>
      </c>
      <c r="AJ32" s="63">
        <f t="shared" si="3"/>
        <v>0</v>
      </c>
      <c r="AK32" s="59"/>
      <c r="AL32"/>
      <c r="AM32" s="3"/>
      <c r="AN32" s="9">
        <f>$AM$2-AM32</f>
        <v>80.7</v>
      </c>
      <c r="AP32" s="9">
        <f>$AO$2-AO32</f>
        <v>92</v>
      </c>
      <c r="AR32" s="9">
        <f>$AQ$2-AQ32</f>
        <v>95</v>
      </c>
      <c r="AT32" s="9">
        <f>$AS$2-AS32</f>
        <v>98</v>
      </c>
      <c r="AU32"/>
      <c r="AV32" s="9">
        <f>$AU$2-AU32</f>
        <v>58</v>
      </c>
      <c r="AX32" s="9">
        <f>$AW$2-AW32</f>
        <v>58</v>
      </c>
      <c r="AY32"/>
      <c r="AZ32" s="9">
        <f>$AY$2-AY32</f>
        <v>41</v>
      </c>
      <c r="BA32"/>
      <c r="BB32" s="9">
        <f>$BA$2-BA32</f>
        <v>41</v>
      </c>
      <c r="BC32"/>
      <c r="BD32" s="9">
        <f>$BC$2-BC32</f>
        <v>30</v>
      </c>
      <c r="BF32" s="37">
        <f>$BE$2-BE32</f>
        <v>30</v>
      </c>
    </row>
    <row r="33" spans="1:58" x14ac:dyDescent="0.25">
      <c r="A33" s="6"/>
      <c r="B33" s="1" t="s">
        <v>24</v>
      </c>
      <c r="C33" s="81">
        <v>42073</v>
      </c>
      <c r="D33" s="3"/>
      <c r="F33" s="2"/>
      <c r="G33" s="14"/>
      <c r="H33" s="159"/>
      <c r="I33" s="147"/>
      <c r="J33" s="171"/>
      <c r="K33">
        <v>6</v>
      </c>
      <c r="M33" s="2"/>
      <c r="N33" s="14"/>
      <c r="O33" s="159">
        <v>143</v>
      </c>
      <c r="P33" s="147"/>
      <c r="Q33" s="26"/>
      <c r="R33" s="44"/>
      <c r="S33" s="26">
        <v>7.4074074074074068E-3</v>
      </c>
      <c r="T33" s="30" t="s">
        <v>44</v>
      </c>
      <c r="U33" s="41">
        <v>4</v>
      </c>
      <c r="V33" s="2">
        <v>0.15486111111111112</v>
      </c>
      <c r="W33" s="14"/>
      <c r="X33" s="159">
        <v>184</v>
      </c>
      <c r="Y33" s="147"/>
      <c r="Z33" s="15"/>
      <c r="AC33" s="14"/>
      <c r="AD33" s="159"/>
      <c r="AE33" s="147"/>
      <c r="AF33" s="47"/>
      <c r="AG33" s="13">
        <f t="shared" si="0"/>
        <v>4</v>
      </c>
      <c r="AH33" s="87">
        <f t="shared" si="1"/>
        <v>10</v>
      </c>
      <c r="AI33" s="27">
        <f t="shared" si="2"/>
        <v>-6</v>
      </c>
      <c r="AJ33" s="63">
        <f t="shared" si="3"/>
        <v>7.4074074074074068E-3</v>
      </c>
      <c r="AK33" s="59"/>
      <c r="AL33"/>
      <c r="AM33" s="3"/>
      <c r="AU33"/>
      <c r="AY33"/>
      <c r="BA33"/>
      <c r="BC33"/>
      <c r="BF33" s="37"/>
    </row>
    <row r="34" spans="1:58" x14ac:dyDescent="0.25">
      <c r="A34" s="6">
        <v>11</v>
      </c>
      <c r="B34" s="1" t="s">
        <v>15</v>
      </c>
      <c r="C34" s="81">
        <v>42074</v>
      </c>
      <c r="D34" s="3">
        <v>10</v>
      </c>
      <c r="F34" s="2"/>
      <c r="G34" s="14"/>
      <c r="H34" s="159">
        <v>130</v>
      </c>
      <c r="I34" s="147"/>
      <c r="J34" s="171"/>
      <c r="M34" s="2"/>
      <c r="N34" s="14"/>
      <c r="O34" s="159"/>
      <c r="P34" s="147"/>
      <c r="Q34" s="26"/>
      <c r="R34" s="44"/>
      <c r="S34" s="26"/>
      <c r="V34" s="2"/>
      <c r="W34" s="14"/>
      <c r="X34" s="159"/>
      <c r="Y34" s="147"/>
      <c r="Z34" s="15"/>
      <c r="AD34" s="159"/>
      <c r="AE34" s="147"/>
      <c r="AF34" s="4"/>
      <c r="AG34" s="13">
        <f t="shared" si="0"/>
        <v>0</v>
      </c>
      <c r="AH34" s="87">
        <f t="shared" si="1"/>
        <v>10</v>
      </c>
      <c r="AI34" s="27">
        <f t="shared" si="2"/>
        <v>-10</v>
      </c>
      <c r="AJ34" s="63">
        <f t="shared" si="3"/>
        <v>0</v>
      </c>
      <c r="AK34" s="59"/>
      <c r="AL34"/>
      <c r="AM34" s="3"/>
      <c r="AU34"/>
      <c r="AY34"/>
      <c r="BA34"/>
      <c r="BC34"/>
      <c r="BF34" s="37"/>
    </row>
    <row r="35" spans="1:58" x14ac:dyDescent="0.25">
      <c r="A35" s="6"/>
      <c r="B35" s="1" t="s">
        <v>26</v>
      </c>
      <c r="C35" s="81">
        <v>42075</v>
      </c>
      <c r="D35" s="3">
        <v>16</v>
      </c>
      <c r="F35" s="2">
        <v>0.20833333333333334</v>
      </c>
      <c r="G35" s="14"/>
      <c r="H35" s="159">
        <v>143</v>
      </c>
      <c r="I35" s="147"/>
      <c r="J35" s="171"/>
      <c r="M35" s="2"/>
      <c r="N35" s="14"/>
      <c r="O35" s="159"/>
      <c r="P35" s="147"/>
      <c r="Q35" s="26"/>
      <c r="R35" s="44"/>
      <c r="S35" s="26"/>
      <c r="V35" s="2"/>
      <c r="W35" s="14"/>
      <c r="X35" s="159"/>
      <c r="Y35" s="147"/>
      <c r="Z35" s="15"/>
      <c r="AD35" s="159"/>
      <c r="AE35" s="147"/>
      <c r="AF35" s="4"/>
      <c r="AG35" s="13">
        <f>E35+L35+U35+AA35+R35</f>
        <v>0</v>
      </c>
      <c r="AH35" s="87">
        <f>D35+K35+U35+AA35+R35</f>
        <v>16</v>
      </c>
      <c r="AI35" s="27">
        <f>AG35-AH35</f>
        <v>-16</v>
      </c>
      <c r="AJ35" s="63">
        <f>J35+Q35+Z35+AF35+S35</f>
        <v>0</v>
      </c>
      <c r="AK35" s="59"/>
      <c r="AL35"/>
      <c r="AM35" s="3"/>
      <c r="AU35"/>
      <c r="AY35"/>
      <c r="BA35"/>
      <c r="BC35"/>
      <c r="BF35" s="37"/>
    </row>
    <row r="36" spans="1:58" x14ac:dyDescent="0.25">
      <c r="A36" s="6"/>
      <c r="B36" s="1" t="s">
        <v>29</v>
      </c>
      <c r="C36" s="81">
        <v>42076</v>
      </c>
      <c r="D36" s="3"/>
      <c r="F36" s="2"/>
      <c r="G36" s="14"/>
      <c r="H36" s="159"/>
      <c r="I36" s="147"/>
      <c r="J36" s="171"/>
      <c r="K36">
        <v>6</v>
      </c>
      <c r="M36" s="2"/>
      <c r="N36" s="14"/>
      <c r="O36" s="159"/>
      <c r="P36" s="147"/>
      <c r="Q36" s="26"/>
      <c r="R36" s="44"/>
      <c r="S36" s="26"/>
      <c r="V36" s="2"/>
      <c r="W36" s="14"/>
      <c r="X36" s="159"/>
      <c r="Y36" s="147"/>
      <c r="Z36" s="15"/>
      <c r="AA36">
        <v>7</v>
      </c>
      <c r="AB36" s="2">
        <v>0.16666666666666666</v>
      </c>
      <c r="AC36" s="14"/>
      <c r="AD36" s="159">
        <v>170</v>
      </c>
      <c r="AE36" s="147"/>
      <c r="AF36" s="15"/>
      <c r="AG36" s="13">
        <f t="shared" si="0"/>
        <v>7</v>
      </c>
      <c r="AH36" s="87">
        <f t="shared" si="1"/>
        <v>13</v>
      </c>
      <c r="AI36" s="27">
        <f t="shared" si="2"/>
        <v>-6</v>
      </c>
      <c r="AJ36" s="63">
        <f t="shared" si="3"/>
        <v>0</v>
      </c>
      <c r="AK36" s="59"/>
      <c r="AL36"/>
      <c r="AM36" s="3"/>
      <c r="AU36"/>
      <c r="AY36"/>
      <c r="BA36"/>
      <c r="BC36"/>
      <c r="BF36" s="37"/>
    </row>
    <row r="37" spans="1:58" x14ac:dyDescent="0.25">
      <c r="A37" s="56"/>
      <c r="B37" s="17" t="s">
        <v>27</v>
      </c>
      <c r="C37" s="85">
        <v>42078</v>
      </c>
      <c r="D37" s="19">
        <v>28</v>
      </c>
      <c r="E37" s="42"/>
      <c r="F37" s="21">
        <v>0.20833333333333334</v>
      </c>
      <c r="G37" s="22"/>
      <c r="H37" s="160">
        <v>157</v>
      </c>
      <c r="I37" s="156"/>
      <c r="J37" s="172"/>
      <c r="K37" s="18"/>
      <c r="L37" s="20"/>
      <c r="M37" s="18"/>
      <c r="N37" s="20"/>
      <c r="O37" s="160"/>
      <c r="P37" s="156"/>
      <c r="Q37" s="18"/>
      <c r="R37" s="45"/>
      <c r="S37" s="84"/>
      <c r="T37" s="31"/>
      <c r="U37" s="42"/>
      <c r="V37" s="18"/>
      <c r="W37" s="20"/>
      <c r="X37" s="160"/>
      <c r="Y37" s="156"/>
      <c r="Z37" s="24"/>
      <c r="AA37" s="18"/>
      <c r="AB37" s="18"/>
      <c r="AC37" s="20"/>
      <c r="AD37" s="160"/>
      <c r="AE37" s="156"/>
      <c r="AF37" s="24"/>
      <c r="AG37" s="20">
        <f t="shared" si="0"/>
        <v>0</v>
      </c>
      <c r="AH37" s="88">
        <f t="shared" si="1"/>
        <v>28</v>
      </c>
      <c r="AI37" s="34">
        <f t="shared" si="2"/>
        <v>-28</v>
      </c>
      <c r="AJ37" s="58">
        <f t="shared" si="3"/>
        <v>0</v>
      </c>
      <c r="AK37" s="57">
        <f>SUM(AG32:AG37)</f>
        <v>11</v>
      </c>
      <c r="AL37" s="21">
        <f>SUM(AJ14:AJ37)</f>
        <v>2.3379629629629629E-2</v>
      </c>
      <c r="AM37" s="19"/>
      <c r="AN37" s="36"/>
      <c r="AO37" s="18"/>
      <c r="AP37" s="36"/>
      <c r="AQ37" s="18"/>
      <c r="AR37" s="36"/>
      <c r="AS37" s="18"/>
      <c r="AT37" s="36"/>
      <c r="AU37" s="18"/>
      <c r="AV37" s="36"/>
      <c r="AW37" s="18"/>
      <c r="AX37" s="36"/>
      <c r="AY37" s="18"/>
      <c r="AZ37" s="36"/>
      <c r="BA37" s="18"/>
      <c r="BB37" s="36"/>
      <c r="BC37" s="18"/>
      <c r="BD37" s="36"/>
      <c r="BE37" s="18"/>
      <c r="BF37" s="38"/>
    </row>
    <row r="38" spans="1:58" x14ac:dyDescent="0.25">
      <c r="A38" s="10"/>
      <c r="B38" s="1" t="s">
        <v>0</v>
      </c>
      <c r="C38" s="81">
        <v>42079</v>
      </c>
      <c r="D38" s="3">
        <v>10</v>
      </c>
      <c r="E38" s="54"/>
      <c r="F38" s="2"/>
      <c r="G38" s="52"/>
      <c r="H38" s="161">
        <v>130</v>
      </c>
      <c r="I38" s="157"/>
      <c r="J38" s="171"/>
      <c r="K38" s="11"/>
      <c r="L38" s="50"/>
      <c r="M38" s="51"/>
      <c r="N38" s="52"/>
      <c r="O38" s="161"/>
      <c r="P38" s="157"/>
      <c r="Q38" s="26"/>
      <c r="R38" s="44"/>
      <c r="S38" s="26"/>
      <c r="T38" s="53"/>
      <c r="U38" s="54"/>
      <c r="V38" s="51"/>
      <c r="W38" s="52"/>
      <c r="X38" s="161"/>
      <c r="Y38" s="157"/>
      <c r="Z38" s="15"/>
      <c r="AA38" s="11"/>
      <c r="AB38" s="11"/>
      <c r="AC38" s="50"/>
      <c r="AD38" s="161"/>
      <c r="AE38" s="157"/>
      <c r="AF38" s="4"/>
      <c r="AG38" s="13">
        <f t="shared" si="0"/>
        <v>0</v>
      </c>
      <c r="AH38" s="87">
        <f t="shared" si="1"/>
        <v>10</v>
      </c>
      <c r="AI38" s="27">
        <f t="shared" si="2"/>
        <v>-10</v>
      </c>
      <c r="AJ38" s="63">
        <f t="shared" si="3"/>
        <v>0</v>
      </c>
      <c r="AK38" s="59"/>
      <c r="AL38" s="51"/>
      <c r="AM38" s="3"/>
      <c r="AN38" s="9">
        <f>$AM$2-AM38</f>
        <v>80.7</v>
      </c>
      <c r="AP38" s="9">
        <f>$AO$2-AO38</f>
        <v>92</v>
      </c>
      <c r="AR38" s="9">
        <f>$AQ$2-AQ38</f>
        <v>95</v>
      </c>
      <c r="AT38" s="9">
        <f>$AS$2-AS38</f>
        <v>98</v>
      </c>
      <c r="AU38"/>
      <c r="AV38" s="9">
        <f>$AU$2-AU38</f>
        <v>58</v>
      </c>
      <c r="AX38" s="9">
        <f>$AW$2-AW38</f>
        <v>58</v>
      </c>
      <c r="AY38"/>
      <c r="AZ38" s="9">
        <f>$AY$2-AY38</f>
        <v>41</v>
      </c>
      <c r="BA38"/>
      <c r="BB38" s="9">
        <f>$BA$2-BA38</f>
        <v>41</v>
      </c>
      <c r="BC38"/>
      <c r="BD38" s="9">
        <f>$BC$2-BC38</f>
        <v>30</v>
      </c>
      <c r="BF38" s="37">
        <f>$BE$2-BE38</f>
        <v>30</v>
      </c>
    </row>
    <row r="39" spans="1:58" x14ac:dyDescent="0.25">
      <c r="A39" s="10"/>
      <c r="B39" s="1" t="s">
        <v>24</v>
      </c>
      <c r="C39" s="81">
        <v>42080</v>
      </c>
      <c r="D39" s="3"/>
      <c r="E39" s="54"/>
      <c r="F39" s="2"/>
      <c r="G39" s="52"/>
      <c r="H39" s="161"/>
      <c r="I39" s="157"/>
      <c r="J39" s="171"/>
      <c r="K39" s="11">
        <v>6</v>
      </c>
      <c r="L39" s="50"/>
      <c r="M39" s="11"/>
      <c r="N39" s="52"/>
      <c r="O39" s="161">
        <v>143</v>
      </c>
      <c r="P39" s="157"/>
      <c r="Q39" s="26"/>
      <c r="R39" s="44"/>
      <c r="S39" s="26">
        <v>1.3773148148148147E-2</v>
      </c>
      <c r="T39" s="53" t="s">
        <v>203</v>
      </c>
      <c r="U39" s="54"/>
      <c r="V39" s="51">
        <v>0.15486111111111112</v>
      </c>
      <c r="W39" s="52"/>
      <c r="X39" s="161">
        <v>184</v>
      </c>
      <c r="Y39" s="157"/>
      <c r="Z39" s="15"/>
      <c r="AA39" s="11"/>
      <c r="AB39" s="11"/>
      <c r="AC39" s="50"/>
      <c r="AD39" s="161"/>
      <c r="AE39" s="157"/>
      <c r="AF39" s="4"/>
      <c r="AG39" s="13">
        <f t="shared" si="0"/>
        <v>0</v>
      </c>
      <c r="AH39" s="87">
        <f t="shared" si="1"/>
        <v>6</v>
      </c>
      <c r="AI39" s="27">
        <f t="shared" si="2"/>
        <v>-6</v>
      </c>
      <c r="AJ39" s="63">
        <f t="shared" si="3"/>
        <v>1.3773148148148147E-2</v>
      </c>
      <c r="AK39" s="59"/>
      <c r="AL39" s="51"/>
      <c r="AM39" s="3"/>
      <c r="AU39"/>
      <c r="AY39"/>
      <c r="BA39"/>
      <c r="BC39"/>
      <c r="BF39" s="37"/>
    </row>
    <row r="40" spans="1:58" x14ac:dyDescent="0.25">
      <c r="A40" s="10">
        <v>12</v>
      </c>
      <c r="B40" s="1" t="s">
        <v>15</v>
      </c>
      <c r="C40" s="81">
        <v>42081</v>
      </c>
      <c r="D40" s="3">
        <v>10</v>
      </c>
      <c r="E40" s="54"/>
      <c r="F40" s="51"/>
      <c r="G40" s="52"/>
      <c r="H40" s="161">
        <v>130</v>
      </c>
      <c r="I40" s="157"/>
      <c r="J40" s="171"/>
      <c r="K40" s="11"/>
      <c r="L40" s="50"/>
      <c r="M40" s="2"/>
      <c r="N40" s="52"/>
      <c r="O40" s="161"/>
      <c r="P40" s="157"/>
      <c r="Q40" s="26"/>
      <c r="R40" s="44"/>
      <c r="S40" s="26"/>
      <c r="T40" s="53"/>
      <c r="U40" s="54"/>
      <c r="V40" s="11"/>
      <c r="W40" s="50"/>
      <c r="X40" s="161"/>
      <c r="Y40" s="157"/>
      <c r="Z40" s="4"/>
      <c r="AA40" s="11"/>
      <c r="AB40" s="11"/>
      <c r="AC40" s="52"/>
      <c r="AD40" s="161"/>
      <c r="AE40" s="157"/>
      <c r="AF40" s="15"/>
      <c r="AG40" s="13">
        <f t="shared" si="0"/>
        <v>0</v>
      </c>
      <c r="AH40" s="87">
        <f t="shared" si="1"/>
        <v>10</v>
      </c>
      <c r="AI40" s="27">
        <f t="shared" si="2"/>
        <v>-10</v>
      </c>
      <c r="AJ40" s="63">
        <f t="shared" si="3"/>
        <v>0</v>
      </c>
      <c r="AK40" s="59"/>
      <c r="AL40" s="51"/>
      <c r="AM40" s="3"/>
      <c r="AN40" s="55"/>
      <c r="AO40" s="11"/>
      <c r="AP40" s="55"/>
      <c r="AQ40" s="11"/>
      <c r="AR40" s="55"/>
      <c r="AS40" s="11"/>
      <c r="AT40" s="55"/>
      <c r="AU40" s="11"/>
      <c r="AV40" s="55"/>
      <c r="AW40" s="11"/>
      <c r="AX40" s="55"/>
      <c r="AY40" s="11"/>
      <c r="AZ40" s="55"/>
      <c r="BA40" s="11"/>
      <c r="BB40" s="55"/>
      <c r="BC40" s="11"/>
      <c r="BD40" s="55"/>
      <c r="BE40" s="11"/>
      <c r="BF40" s="37"/>
    </row>
    <row r="41" spans="1:58" x14ac:dyDescent="0.25">
      <c r="A41" s="10"/>
      <c r="B41" s="1" t="s">
        <v>26</v>
      </c>
      <c r="C41" s="81">
        <v>42082</v>
      </c>
      <c r="D41" s="3">
        <v>10</v>
      </c>
      <c r="E41" s="54"/>
      <c r="F41" s="51">
        <v>0.20833333333333334</v>
      </c>
      <c r="G41" s="52"/>
      <c r="H41" s="161">
        <v>143</v>
      </c>
      <c r="I41" s="157"/>
      <c r="J41" s="171"/>
      <c r="K41" s="11"/>
      <c r="L41" s="50"/>
      <c r="M41" s="2"/>
      <c r="N41" s="52"/>
      <c r="O41" s="161"/>
      <c r="P41" s="157"/>
      <c r="Q41" s="26"/>
      <c r="R41" s="44"/>
      <c r="S41" s="26"/>
      <c r="T41" s="53"/>
      <c r="U41" s="54"/>
      <c r="V41" s="11"/>
      <c r="W41" s="50"/>
      <c r="X41" s="161"/>
      <c r="Y41" s="157"/>
      <c r="Z41" s="4"/>
      <c r="AA41" s="11"/>
      <c r="AB41" s="11"/>
      <c r="AC41" s="52"/>
      <c r="AD41" s="161"/>
      <c r="AE41" s="157"/>
      <c r="AF41" s="15"/>
      <c r="AG41" s="13">
        <f>E41+L41+U41+AA41+R41</f>
        <v>0</v>
      </c>
      <c r="AH41" s="87">
        <f>D41+K41+U41+AA41+R41</f>
        <v>10</v>
      </c>
      <c r="AI41" s="27">
        <f>AG41-AH41</f>
        <v>-10</v>
      </c>
      <c r="AJ41" s="63">
        <f>J41+Q41+Z41+AF41+S41</f>
        <v>0</v>
      </c>
      <c r="AK41" s="59"/>
      <c r="AL41" s="51"/>
      <c r="AM41" s="3"/>
      <c r="AN41" s="55"/>
      <c r="AO41" s="11"/>
      <c r="AP41" s="55"/>
      <c r="AQ41" s="11"/>
      <c r="AR41" s="55"/>
      <c r="AS41" s="11"/>
      <c r="AT41" s="55"/>
      <c r="AU41" s="11"/>
      <c r="AV41" s="55"/>
      <c r="AW41" s="11"/>
      <c r="AX41" s="55"/>
      <c r="AY41" s="11"/>
      <c r="AZ41" s="55"/>
      <c r="BA41" s="11"/>
      <c r="BB41" s="55"/>
      <c r="BC41" s="11"/>
      <c r="BD41" s="55"/>
      <c r="BE41" s="11"/>
      <c r="BF41" s="37"/>
    </row>
    <row r="42" spans="1:58" x14ac:dyDescent="0.25">
      <c r="A42" s="10"/>
      <c r="B42" s="1" t="s">
        <v>29</v>
      </c>
      <c r="C42" s="81">
        <v>42083</v>
      </c>
      <c r="D42" s="3">
        <v>18</v>
      </c>
      <c r="E42" s="54"/>
      <c r="F42" s="51">
        <v>0.20833333333333334</v>
      </c>
      <c r="G42" s="52"/>
      <c r="H42" s="161">
        <v>143</v>
      </c>
      <c r="I42" s="157"/>
      <c r="J42" s="171"/>
      <c r="K42" s="11"/>
      <c r="L42" s="50"/>
      <c r="M42" s="2"/>
      <c r="N42" s="52"/>
      <c r="O42" s="161"/>
      <c r="P42" s="157"/>
      <c r="Q42" s="26"/>
      <c r="R42" s="44"/>
      <c r="S42" s="26"/>
      <c r="T42" s="53"/>
      <c r="U42" s="54"/>
      <c r="V42" s="11"/>
      <c r="W42" s="50"/>
      <c r="X42" s="161"/>
      <c r="Y42" s="157"/>
      <c r="Z42" s="4"/>
      <c r="AA42" s="11"/>
      <c r="AB42" s="11"/>
      <c r="AC42" s="52"/>
      <c r="AD42" s="161"/>
      <c r="AE42" s="157"/>
      <c r="AF42" s="15"/>
      <c r="AG42" s="13">
        <f t="shared" si="0"/>
        <v>0</v>
      </c>
      <c r="AH42" s="87">
        <f t="shared" si="1"/>
        <v>18</v>
      </c>
      <c r="AI42" s="27">
        <f t="shared" si="2"/>
        <v>-18</v>
      </c>
      <c r="AJ42" s="63">
        <f t="shared" si="3"/>
        <v>0</v>
      </c>
      <c r="AK42" s="59"/>
      <c r="AL42" s="51"/>
      <c r="AM42" s="3"/>
      <c r="AN42" s="55"/>
      <c r="AO42" s="11"/>
      <c r="AP42" s="55"/>
      <c r="AQ42" s="11"/>
      <c r="AR42" s="55"/>
      <c r="AS42" s="11"/>
      <c r="AT42" s="55"/>
      <c r="AU42" s="11"/>
      <c r="AV42" s="55"/>
      <c r="AW42" s="11"/>
      <c r="AX42" s="55"/>
      <c r="AY42" s="11"/>
      <c r="AZ42" s="55"/>
      <c r="BA42" s="11"/>
      <c r="BB42" s="55"/>
      <c r="BC42" s="11"/>
      <c r="BD42" s="55"/>
      <c r="BE42" s="11"/>
      <c r="BF42" s="37"/>
    </row>
    <row r="43" spans="1:58" x14ac:dyDescent="0.25">
      <c r="A43" s="56"/>
      <c r="B43" s="17" t="s">
        <v>27</v>
      </c>
      <c r="C43" s="85">
        <v>42085</v>
      </c>
      <c r="D43" s="19">
        <v>28</v>
      </c>
      <c r="E43" s="42"/>
      <c r="F43" s="21">
        <v>0.20833333333333334</v>
      </c>
      <c r="G43" s="22"/>
      <c r="H43" s="160">
        <v>157</v>
      </c>
      <c r="I43" s="156"/>
      <c r="J43" s="172"/>
      <c r="K43" s="18"/>
      <c r="L43" s="20"/>
      <c r="M43" s="18"/>
      <c r="N43" s="20"/>
      <c r="O43" s="160"/>
      <c r="P43" s="156"/>
      <c r="Q43" s="18"/>
      <c r="R43" s="45"/>
      <c r="S43" s="84"/>
      <c r="T43" s="31"/>
      <c r="U43" s="42"/>
      <c r="V43" s="18"/>
      <c r="W43" s="20"/>
      <c r="X43" s="160"/>
      <c r="Y43" s="156"/>
      <c r="Z43" s="24"/>
      <c r="AA43" s="18"/>
      <c r="AB43" s="18"/>
      <c r="AC43" s="20"/>
      <c r="AD43" s="160"/>
      <c r="AE43" s="156"/>
      <c r="AF43" s="24"/>
      <c r="AG43" s="20">
        <f t="shared" si="0"/>
        <v>0</v>
      </c>
      <c r="AH43" s="88">
        <f t="shared" si="1"/>
        <v>28</v>
      </c>
      <c r="AI43" s="34">
        <f t="shared" si="2"/>
        <v>-28</v>
      </c>
      <c r="AJ43" s="58">
        <f t="shared" si="3"/>
        <v>0</v>
      </c>
      <c r="AK43" s="57">
        <f>SUM(AG38:AG43)</f>
        <v>0</v>
      </c>
      <c r="AL43" s="21">
        <f>SUM(AJ38:AJ43)</f>
        <v>1.3773148148148147E-2</v>
      </c>
      <c r="AM43" s="19"/>
      <c r="AN43" s="36"/>
      <c r="AO43" s="18"/>
      <c r="AP43" s="36"/>
      <c r="AQ43" s="18"/>
      <c r="AR43" s="36"/>
      <c r="AS43" s="18"/>
      <c r="AT43" s="36"/>
      <c r="AU43" s="18"/>
      <c r="AV43" s="36"/>
      <c r="AW43" s="18"/>
      <c r="AX43" s="36"/>
      <c r="AY43" s="18"/>
      <c r="AZ43" s="36"/>
      <c r="BA43" s="18"/>
      <c r="BB43" s="36"/>
      <c r="BC43" s="18"/>
      <c r="BD43" s="36"/>
      <c r="BE43" s="18"/>
      <c r="BF43" s="38"/>
    </row>
    <row r="44" spans="1:58" x14ac:dyDescent="0.25">
      <c r="A44" s="10"/>
      <c r="B44" s="1" t="s">
        <v>0</v>
      </c>
      <c r="C44" s="81">
        <v>42086</v>
      </c>
      <c r="D44" s="3">
        <v>10</v>
      </c>
      <c r="E44" s="54"/>
      <c r="F44" s="2"/>
      <c r="G44" s="52"/>
      <c r="H44" s="161">
        <v>130</v>
      </c>
      <c r="I44" s="175"/>
      <c r="J44" s="171"/>
      <c r="K44" s="11"/>
      <c r="L44" s="50"/>
      <c r="M44" s="51"/>
      <c r="N44" s="52"/>
      <c r="O44" s="161"/>
      <c r="P44" s="157"/>
      <c r="Q44" s="26"/>
      <c r="R44" s="44"/>
      <c r="S44" s="26"/>
      <c r="T44" s="53"/>
      <c r="U44" s="54"/>
      <c r="V44" s="51"/>
      <c r="W44" s="52"/>
      <c r="X44" s="161"/>
      <c r="Y44" s="157"/>
      <c r="Z44" s="15"/>
      <c r="AA44" s="11"/>
      <c r="AB44" s="11"/>
      <c r="AC44" s="50"/>
      <c r="AD44" s="161"/>
      <c r="AE44" s="157"/>
      <c r="AF44" s="4"/>
      <c r="AG44" s="13">
        <f t="shared" si="0"/>
        <v>0</v>
      </c>
      <c r="AH44" s="87">
        <f t="shared" si="1"/>
        <v>10</v>
      </c>
      <c r="AI44" s="27">
        <f t="shared" si="2"/>
        <v>-10</v>
      </c>
      <c r="AJ44" s="63">
        <f t="shared" si="3"/>
        <v>0</v>
      </c>
      <c r="AK44" s="59"/>
      <c r="AL44" s="51"/>
      <c r="AM44" s="3"/>
      <c r="AN44" s="9">
        <f>$AM$2-AM44</f>
        <v>80.7</v>
      </c>
      <c r="AP44" s="9">
        <f>$AO$2-AO44</f>
        <v>92</v>
      </c>
      <c r="AR44" s="9">
        <f>$AQ$2-AQ44</f>
        <v>95</v>
      </c>
      <c r="AT44" s="9">
        <f>$AS$2-AS44</f>
        <v>98</v>
      </c>
      <c r="AU44"/>
      <c r="AV44" s="9">
        <f>$AU$2-AU44</f>
        <v>58</v>
      </c>
      <c r="AX44" s="9">
        <f>$AW$2-AW44</f>
        <v>58</v>
      </c>
      <c r="AY44"/>
      <c r="AZ44" s="9">
        <f>$AY$2-AY44</f>
        <v>41</v>
      </c>
      <c r="BA44"/>
      <c r="BB44" s="9">
        <f>$BA$2-BA44</f>
        <v>41</v>
      </c>
      <c r="BC44"/>
      <c r="BD44" s="9">
        <f>$BC$2-BC44</f>
        <v>30</v>
      </c>
      <c r="BF44" s="37">
        <f>$BE$2-BE44</f>
        <v>30</v>
      </c>
    </row>
    <row r="45" spans="1:58" x14ac:dyDescent="0.25">
      <c r="A45" s="10"/>
      <c r="B45" s="1" t="s">
        <v>24</v>
      </c>
      <c r="C45" s="81">
        <v>42087</v>
      </c>
      <c r="D45" s="3">
        <v>10</v>
      </c>
      <c r="E45" s="54"/>
      <c r="F45" s="2">
        <v>0.20833333333333334</v>
      </c>
      <c r="G45" s="52"/>
      <c r="H45" s="161">
        <v>143</v>
      </c>
      <c r="I45" s="157"/>
      <c r="J45" s="171"/>
      <c r="K45" s="11"/>
      <c r="L45" s="50"/>
      <c r="M45" s="11"/>
      <c r="N45" s="52"/>
      <c r="O45" s="161"/>
      <c r="P45" s="157"/>
      <c r="Q45" s="26"/>
      <c r="R45" s="44"/>
      <c r="S45" s="26"/>
      <c r="T45" s="53"/>
      <c r="U45" s="54"/>
      <c r="V45" s="11"/>
      <c r="W45" s="50"/>
      <c r="X45" s="161"/>
      <c r="Y45" s="157"/>
      <c r="Z45" s="4"/>
      <c r="AA45" s="11"/>
      <c r="AB45" s="51"/>
      <c r="AC45" s="52"/>
      <c r="AD45" s="161"/>
      <c r="AE45" s="157"/>
      <c r="AF45" s="15"/>
      <c r="AG45" s="13">
        <f t="shared" si="0"/>
        <v>0</v>
      </c>
      <c r="AH45" s="87">
        <f t="shared" si="1"/>
        <v>10</v>
      </c>
      <c r="AI45" s="27">
        <f t="shared" si="2"/>
        <v>-10</v>
      </c>
      <c r="AJ45" s="63">
        <f t="shared" si="3"/>
        <v>0</v>
      </c>
      <c r="AK45" s="59"/>
      <c r="AL45" s="51"/>
      <c r="AM45" s="3"/>
      <c r="AU45"/>
      <c r="AY45"/>
      <c r="BA45"/>
      <c r="BC45"/>
      <c r="BF45" s="37"/>
    </row>
    <row r="46" spans="1:58" x14ac:dyDescent="0.25">
      <c r="A46" s="10">
        <v>13</v>
      </c>
      <c r="B46" s="1" t="s">
        <v>15</v>
      </c>
      <c r="C46" s="81">
        <v>42088</v>
      </c>
      <c r="D46" s="3"/>
      <c r="E46" s="54"/>
      <c r="F46" s="51"/>
      <c r="G46" s="52"/>
      <c r="H46" s="161"/>
      <c r="I46" s="157"/>
      <c r="J46" s="171"/>
      <c r="K46" s="11">
        <v>6</v>
      </c>
      <c r="L46" s="50"/>
      <c r="M46" s="2"/>
      <c r="N46" s="52"/>
      <c r="O46" s="161">
        <v>143</v>
      </c>
      <c r="P46" s="157"/>
      <c r="Q46" s="26"/>
      <c r="R46" s="44"/>
      <c r="S46" s="26"/>
      <c r="T46" s="53"/>
      <c r="U46" s="54"/>
      <c r="V46" s="11"/>
      <c r="W46" s="50"/>
      <c r="X46" s="161"/>
      <c r="Y46" s="157"/>
      <c r="Z46" s="4"/>
      <c r="AA46" s="11">
        <v>5</v>
      </c>
      <c r="AB46" s="11"/>
      <c r="AC46" s="52"/>
      <c r="AD46" s="161">
        <v>184</v>
      </c>
      <c r="AE46" s="157"/>
      <c r="AF46" s="15"/>
      <c r="AG46" s="13">
        <f t="shared" si="0"/>
        <v>5</v>
      </c>
      <c r="AH46" s="87">
        <f t="shared" si="1"/>
        <v>11</v>
      </c>
      <c r="AI46" s="27">
        <f t="shared" si="2"/>
        <v>-6</v>
      </c>
      <c r="AJ46" s="63">
        <f t="shared" si="3"/>
        <v>0</v>
      </c>
      <c r="AK46" s="59"/>
      <c r="AL46" s="51"/>
      <c r="AM46" s="3"/>
      <c r="AN46" s="55"/>
      <c r="AO46" s="11"/>
      <c r="AP46" s="55"/>
      <c r="AQ46" s="11"/>
      <c r="AR46" s="55"/>
      <c r="AS46" s="11"/>
      <c r="AT46" s="55"/>
      <c r="AU46" s="11"/>
      <c r="AV46" s="55"/>
      <c r="AW46" s="11"/>
      <c r="AX46" s="55"/>
      <c r="AY46" s="11"/>
      <c r="AZ46" s="55"/>
      <c r="BA46" s="11"/>
      <c r="BB46" s="55"/>
      <c r="BC46" s="11"/>
      <c r="BD46" s="55"/>
      <c r="BE46" s="11"/>
      <c r="BF46" s="37"/>
    </row>
    <row r="47" spans="1:58" x14ac:dyDescent="0.25">
      <c r="A47" s="10"/>
      <c r="B47" s="1" t="s">
        <v>26</v>
      </c>
      <c r="C47" s="81">
        <v>42089</v>
      </c>
      <c r="D47" s="3">
        <v>10</v>
      </c>
      <c r="E47" s="54"/>
      <c r="F47" s="51">
        <v>0.20833333333333334</v>
      </c>
      <c r="G47" s="52"/>
      <c r="H47" s="161">
        <v>143</v>
      </c>
      <c r="I47" s="157"/>
      <c r="J47" s="171"/>
      <c r="K47" s="11"/>
      <c r="L47" s="50"/>
      <c r="M47" s="2"/>
      <c r="N47" s="52"/>
      <c r="O47" s="161"/>
      <c r="P47" s="157"/>
      <c r="Q47" s="26"/>
      <c r="R47" s="44"/>
      <c r="S47" s="26"/>
      <c r="T47" s="53"/>
      <c r="U47" s="54"/>
      <c r="V47" s="11"/>
      <c r="W47" s="50"/>
      <c r="X47" s="161"/>
      <c r="Y47" s="157"/>
      <c r="Z47" s="4"/>
      <c r="AA47" s="11"/>
      <c r="AB47" s="11"/>
      <c r="AC47" s="52"/>
      <c r="AD47" s="161"/>
      <c r="AE47" s="157"/>
      <c r="AF47" s="15"/>
      <c r="AG47" s="13">
        <f>E47+L47+U47+AA47+R47</f>
        <v>0</v>
      </c>
      <c r="AH47" s="87">
        <f>D47+K47+U47+AA47+R47</f>
        <v>10</v>
      </c>
      <c r="AI47" s="27">
        <f>AG47-AH47</f>
        <v>-10</v>
      </c>
      <c r="AJ47" s="63">
        <f>J47+Q47+Z47+AF47+S47</f>
        <v>0</v>
      </c>
      <c r="AK47" s="59"/>
      <c r="AL47" s="51"/>
      <c r="AM47" s="3"/>
      <c r="AN47" s="55"/>
      <c r="AO47" s="11"/>
      <c r="AP47" s="55"/>
      <c r="AQ47" s="11"/>
      <c r="AR47" s="55"/>
      <c r="AS47" s="11"/>
      <c r="AT47" s="55"/>
      <c r="AU47" s="11"/>
      <c r="AV47" s="55"/>
      <c r="AW47" s="11"/>
      <c r="AX47" s="55"/>
      <c r="AY47" s="11"/>
      <c r="AZ47" s="55"/>
      <c r="BA47" s="11"/>
      <c r="BB47" s="55"/>
      <c r="BC47" s="11"/>
      <c r="BD47" s="55"/>
      <c r="BE47" s="11"/>
      <c r="BF47" s="37"/>
    </row>
    <row r="48" spans="1:58" x14ac:dyDescent="0.25">
      <c r="A48" s="10"/>
      <c r="B48" s="1" t="s">
        <v>29</v>
      </c>
      <c r="C48" s="81">
        <v>42090</v>
      </c>
      <c r="D48" s="3">
        <v>12</v>
      </c>
      <c r="E48" s="54"/>
      <c r="F48" s="51">
        <v>0.20833333333333334</v>
      </c>
      <c r="G48" s="52"/>
      <c r="H48" s="161">
        <v>143</v>
      </c>
      <c r="I48" s="157"/>
      <c r="J48" s="171"/>
      <c r="K48" s="11"/>
      <c r="L48" s="50"/>
      <c r="M48" s="2"/>
      <c r="N48" s="52"/>
      <c r="O48" s="161"/>
      <c r="P48" s="157"/>
      <c r="Q48" s="26"/>
      <c r="R48" s="44"/>
      <c r="S48" s="26"/>
      <c r="T48" s="53"/>
      <c r="U48" s="54"/>
      <c r="V48" s="11"/>
      <c r="W48" s="50"/>
      <c r="X48" s="161"/>
      <c r="Y48" s="157"/>
      <c r="Z48" s="4"/>
      <c r="AA48" s="11"/>
      <c r="AB48" s="11"/>
      <c r="AC48" s="52"/>
      <c r="AD48" s="161"/>
      <c r="AE48" s="157"/>
      <c r="AF48" s="15"/>
      <c r="AG48" s="13">
        <f t="shared" si="0"/>
        <v>0</v>
      </c>
      <c r="AH48" s="87">
        <f t="shared" si="1"/>
        <v>12</v>
      </c>
      <c r="AI48" s="27">
        <f t="shared" si="2"/>
        <v>-12</v>
      </c>
      <c r="AJ48" s="63">
        <f t="shared" si="3"/>
        <v>0</v>
      </c>
      <c r="AK48" s="59"/>
      <c r="AL48" s="51"/>
      <c r="AM48" s="3"/>
      <c r="AN48" s="55"/>
      <c r="AO48" s="11"/>
      <c r="AP48" s="55"/>
      <c r="AQ48" s="11"/>
      <c r="AR48" s="55"/>
      <c r="AS48" s="11"/>
      <c r="AT48" s="55"/>
      <c r="AU48" s="11"/>
      <c r="AV48" s="55"/>
      <c r="AW48" s="11"/>
      <c r="AX48" s="55"/>
      <c r="AY48" s="11"/>
      <c r="AZ48" s="55"/>
      <c r="BA48" s="11"/>
      <c r="BB48" s="55"/>
      <c r="BC48" s="11"/>
      <c r="BD48" s="55"/>
      <c r="BE48" s="11"/>
      <c r="BF48" s="37"/>
    </row>
    <row r="49" spans="1:58" x14ac:dyDescent="0.25">
      <c r="A49" s="56"/>
      <c r="B49" s="17" t="s">
        <v>27</v>
      </c>
      <c r="C49" s="85">
        <v>42092</v>
      </c>
      <c r="D49" s="19">
        <v>22</v>
      </c>
      <c r="E49" s="42"/>
      <c r="F49" s="21">
        <v>0.20833333333333334</v>
      </c>
      <c r="G49" s="22"/>
      <c r="H49" s="160">
        <v>143</v>
      </c>
      <c r="I49" s="156"/>
      <c r="J49" s="172"/>
      <c r="K49" s="18"/>
      <c r="L49" s="20"/>
      <c r="M49" s="18"/>
      <c r="N49" s="20"/>
      <c r="O49" s="160"/>
      <c r="P49" s="156"/>
      <c r="Q49" s="18"/>
      <c r="R49" s="45"/>
      <c r="S49" s="84"/>
      <c r="T49" s="31"/>
      <c r="U49" s="42"/>
      <c r="V49" s="18"/>
      <c r="W49" s="20"/>
      <c r="X49" s="160"/>
      <c r="Y49" s="156"/>
      <c r="Z49" s="24"/>
      <c r="AA49" s="18"/>
      <c r="AB49" s="18"/>
      <c r="AC49" s="20"/>
      <c r="AD49" s="160"/>
      <c r="AE49" s="156"/>
      <c r="AF49" s="24"/>
      <c r="AG49" s="20">
        <f t="shared" si="0"/>
        <v>0</v>
      </c>
      <c r="AH49" s="88">
        <f t="shared" si="1"/>
        <v>22</v>
      </c>
      <c r="AI49" s="34">
        <f t="shared" si="2"/>
        <v>-22</v>
      </c>
      <c r="AJ49" s="58">
        <f t="shared" si="3"/>
        <v>0</v>
      </c>
      <c r="AK49" s="57">
        <f>SUM(AG44:AG49)</f>
        <v>5</v>
      </c>
      <c r="AL49" s="21">
        <f>SUM(AJ44:AJ49)</f>
        <v>0</v>
      </c>
      <c r="AM49" s="19"/>
      <c r="AN49" s="36"/>
      <c r="AO49" s="18"/>
      <c r="AP49" s="36"/>
      <c r="AQ49" s="18"/>
      <c r="AR49" s="36"/>
      <c r="AS49" s="18"/>
      <c r="AT49" s="36"/>
      <c r="AU49" s="18"/>
      <c r="AV49" s="36"/>
      <c r="AW49" s="18"/>
      <c r="AX49" s="36"/>
      <c r="AY49" s="18"/>
      <c r="AZ49" s="36"/>
      <c r="BA49" s="18"/>
      <c r="BB49" s="36"/>
      <c r="BC49" s="18"/>
      <c r="BD49" s="36"/>
      <c r="BE49" s="18"/>
      <c r="BF49" s="38"/>
    </row>
    <row r="50" spans="1:58" x14ac:dyDescent="0.25">
      <c r="A50" s="10"/>
      <c r="B50" s="1" t="s">
        <v>0</v>
      </c>
      <c r="C50" s="81">
        <v>42093</v>
      </c>
      <c r="D50" s="3">
        <v>10</v>
      </c>
      <c r="E50" s="54"/>
      <c r="F50" s="51"/>
      <c r="G50" s="52"/>
      <c r="H50" s="161">
        <v>130</v>
      </c>
      <c r="I50" s="157"/>
      <c r="J50" s="171"/>
      <c r="K50" s="11"/>
      <c r="L50" s="50"/>
      <c r="M50" s="11"/>
      <c r="N50" s="50"/>
      <c r="O50" s="161"/>
      <c r="P50" s="157"/>
      <c r="Q50" s="11"/>
      <c r="R50" s="44"/>
      <c r="S50" s="26"/>
      <c r="T50" s="53"/>
      <c r="U50" s="54"/>
      <c r="V50" s="11"/>
      <c r="W50" s="50"/>
      <c r="X50" s="161"/>
      <c r="Y50" s="157"/>
      <c r="Z50" s="4"/>
      <c r="AA50" s="11"/>
      <c r="AB50" s="11"/>
      <c r="AC50" s="50"/>
      <c r="AD50" s="161"/>
      <c r="AE50" s="157"/>
      <c r="AF50" s="4"/>
      <c r="AG50" s="13">
        <f t="shared" si="0"/>
        <v>0</v>
      </c>
      <c r="AH50" s="87">
        <f t="shared" si="1"/>
        <v>10</v>
      </c>
      <c r="AI50" s="27">
        <f t="shared" si="2"/>
        <v>-10</v>
      </c>
      <c r="AJ50" s="63">
        <f t="shared" si="3"/>
        <v>0</v>
      </c>
      <c r="AK50" s="59"/>
      <c r="AL50" s="51"/>
      <c r="AM50" s="3"/>
      <c r="AN50" s="9">
        <f>$AM$2-AM50</f>
        <v>80.7</v>
      </c>
      <c r="AP50" s="9">
        <f>$AO$2-AO50</f>
        <v>92</v>
      </c>
      <c r="AR50" s="9">
        <f>$AQ$2-AQ50</f>
        <v>95</v>
      </c>
      <c r="AT50" s="9">
        <f>$AS$2-AS50</f>
        <v>98</v>
      </c>
      <c r="AU50"/>
      <c r="AV50" s="9">
        <f>$AU$2-AU50</f>
        <v>58</v>
      </c>
      <c r="AX50" s="9">
        <f>$AW$2-AW50</f>
        <v>58</v>
      </c>
      <c r="AY50"/>
      <c r="AZ50" s="9">
        <f>$AY$2-AY50</f>
        <v>41</v>
      </c>
      <c r="BA50"/>
      <c r="BB50" s="9">
        <f>$BA$2-BA50</f>
        <v>41</v>
      </c>
      <c r="BC50"/>
      <c r="BD50" s="9">
        <f>$BC$2-BC50</f>
        <v>30</v>
      </c>
      <c r="BF50" s="37">
        <f>$BE$2-BE50</f>
        <v>30</v>
      </c>
    </row>
    <row r="51" spans="1:58" x14ac:dyDescent="0.25">
      <c r="A51" s="10"/>
      <c r="B51" s="1" t="s">
        <v>24</v>
      </c>
      <c r="C51" s="81">
        <v>42094</v>
      </c>
      <c r="D51" s="3"/>
      <c r="E51" s="54"/>
      <c r="F51" s="51"/>
      <c r="G51" s="52"/>
      <c r="H51" s="161"/>
      <c r="I51" s="157"/>
      <c r="J51" s="171"/>
      <c r="K51" s="11">
        <v>6</v>
      </c>
      <c r="L51" s="50"/>
      <c r="M51" s="51"/>
      <c r="N51" s="52"/>
      <c r="O51" s="161">
        <v>143</v>
      </c>
      <c r="P51" s="157"/>
      <c r="Q51" s="26"/>
      <c r="R51" s="44"/>
      <c r="S51" s="26"/>
      <c r="T51" s="53"/>
      <c r="U51" s="54"/>
      <c r="V51" s="11"/>
      <c r="W51" s="50"/>
      <c r="X51" s="161"/>
      <c r="Y51" s="157"/>
      <c r="Z51" s="4"/>
      <c r="AA51" s="11">
        <v>8</v>
      </c>
      <c r="AB51" s="51">
        <v>0.16666666666666666</v>
      </c>
      <c r="AC51" s="52"/>
      <c r="AD51" s="161">
        <v>170</v>
      </c>
      <c r="AE51" s="157"/>
      <c r="AF51" s="15"/>
      <c r="AG51" s="13">
        <f t="shared" si="0"/>
        <v>8</v>
      </c>
      <c r="AH51" s="87">
        <f t="shared" si="1"/>
        <v>14</v>
      </c>
      <c r="AI51" s="27">
        <f t="shared" si="2"/>
        <v>-6</v>
      </c>
      <c r="AJ51" s="63">
        <f t="shared" si="3"/>
        <v>0</v>
      </c>
      <c r="AK51" s="59"/>
      <c r="AL51" s="51"/>
      <c r="AM51" s="3"/>
      <c r="AU51"/>
      <c r="AY51"/>
      <c r="BA51"/>
      <c r="BC51"/>
      <c r="BF51" s="37"/>
    </row>
    <row r="52" spans="1:58" x14ac:dyDescent="0.25">
      <c r="A52" s="10">
        <v>14</v>
      </c>
      <c r="B52" s="1" t="s">
        <v>15</v>
      </c>
      <c r="C52" s="81">
        <v>42095</v>
      </c>
      <c r="D52" s="3">
        <v>10</v>
      </c>
      <c r="E52" s="54"/>
      <c r="F52" s="51"/>
      <c r="G52" s="52"/>
      <c r="H52" s="161">
        <v>130</v>
      </c>
      <c r="I52" s="157"/>
      <c r="J52" s="171"/>
      <c r="K52" s="11"/>
      <c r="L52" s="50"/>
      <c r="M52" s="2"/>
      <c r="N52" s="52"/>
      <c r="O52" s="161"/>
      <c r="P52" s="157"/>
      <c r="Q52" s="26"/>
      <c r="R52" s="44"/>
      <c r="S52" s="26"/>
      <c r="T52" s="53"/>
      <c r="U52" s="54"/>
      <c r="V52" s="51"/>
      <c r="W52" s="52"/>
      <c r="X52" s="161"/>
      <c r="Y52" s="157"/>
      <c r="Z52" s="15"/>
      <c r="AA52" s="11"/>
      <c r="AB52" s="11"/>
      <c r="AC52" s="50"/>
      <c r="AD52" s="161"/>
      <c r="AE52" s="157"/>
      <c r="AF52" s="4"/>
      <c r="AG52" s="13">
        <f t="shared" si="0"/>
        <v>0</v>
      </c>
      <c r="AH52" s="87">
        <f t="shared" si="1"/>
        <v>10</v>
      </c>
      <c r="AI52" s="27">
        <f t="shared" si="2"/>
        <v>-10</v>
      </c>
      <c r="AJ52" s="63">
        <f t="shared" si="3"/>
        <v>0</v>
      </c>
      <c r="AK52" s="59"/>
      <c r="AL52" s="51"/>
      <c r="AM52" s="3"/>
      <c r="AN52" s="55"/>
      <c r="AO52" s="11"/>
      <c r="AP52" s="55"/>
      <c r="AQ52" s="11"/>
      <c r="AR52" s="55"/>
      <c r="AS52" s="11"/>
      <c r="AT52" s="55"/>
      <c r="AU52" s="11"/>
      <c r="AV52" s="55"/>
      <c r="AW52" s="11"/>
      <c r="AX52" s="55"/>
      <c r="AY52" s="11"/>
      <c r="AZ52" s="55"/>
      <c r="BA52" s="11"/>
      <c r="BB52" s="55"/>
      <c r="BC52" s="11"/>
      <c r="BD52" s="55"/>
      <c r="BE52" s="11"/>
      <c r="BF52" s="37"/>
    </row>
    <row r="53" spans="1:58" x14ac:dyDescent="0.25">
      <c r="A53" s="10"/>
      <c r="B53" s="1" t="s">
        <v>26</v>
      </c>
      <c r="C53" s="81">
        <v>42096</v>
      </c>
      <c r="D53" s="3">
        <v>10</v>
      </c>
      <c r="E53" s="54"/>
      <c r="F53" s="51">
        <v>0.20833333333333334</v>
      </c>
      <c r="G53" s="52"/>
      <c r="H53" s="161">
        <v>143</v>
      </c>
      <c r="I53" s="157"/>
      <c r="J53" s="171"/>
      <c r="K53" s="11"/>
      <c r="L53" s="50"/>
      <c r="M53" s="2"/>
      <c r="N53" s="52"/>
      <c r="O53" s="161"/>
      <c r="P53" s="157"/>
      <c r="Q53" s="26"/>
      <c r="R53" s="44"/>
      <c r="S53" s="26"/>
      <c r="T53" s="53"/>
      <c r="U53" s="54"/>
      <c r="V53" s="51"/>
      <c r="W53" s="52"/>
      <c r="X53" s="161"/>
      <c r="Y53" s="157"/>
      <c r="Z53" s="15"/>
      <c r="AA53" s="11"/>
      <c r="AB53" s="11"/>
      <c r="AC53" s="50"/>
      <c r="AD53" s="161"/>
      <c r="AE53" s="157"/>
      <c r="AF53" s="4"/>
      <c r="AG53" s="13">
        <f>E53+L53+U53+AA53+R53</f>
        <v>0</v>
      </c>
      <c r="AH53" s="87">
        <f>D53+K53+U53+AA53+R53</f>
        <v>10</v>
      </c>
      <c r="AI53" s="27">
        <f>AG53-AH53</f>
        <v>-10</v>
      </c>
      <c r="AJ53" s="63">
        <f>J53+Q53+Z53+AF53+S53</f>
        <v>0</v>
      </c>
      <c r="AK53" s="59"/>
      <c r="AL53" s="51"/>
      <c r="AM53" s="3"/>
      <c r="AN53" s="55"/>
      <c r="AO53" s="11"/>
      <c r="AP53" s="55"/>
      <c r="AQ53" s="11"/>
      <c r="AR53" s="55"/>
      <c r="AS53" s="11"/>
      <c r="AT53" s="55"/>
      <c r="AU53" s="11"/>
      <c r="AV53" s="55"/>
      <c r="AW53" s="11"/>
      <c r="AX53" s="55"/>
      <c r="AY53" s="11"/>
      <c r="AZ53" s="55"/>
      <c r="BA53" s="11"/>
      <c r="BB53" s="55"/>
      <c r="BC53" s="11"/>
      <c r="BD53" s="55"/>
      <c r="BE53" s="11"/>
      <c r="BF53" s="37"/>
    </row>
    <row r="54" spans="1:58" x14ac:dyDescent="0.25">
      <c r="A54" s="10"/>
      <c r="B54" s="1" t="s">
        <v>29</v>
      </c>
      <c r="C54" s="81">
        <v>42097</v>
      </c>
      <c r="D54" s="3">
        <v>18</v>
      </c>
      <c r="E54" s="54"/>
      <c r="F54" s="51">
        <v>0.20833333333333334</v>
      </c>
      <c r="G54" s="52"/>
      <c r="H54" s="161">
        <v>143</v>
      </c>
      <c r="I54" s="157"/>
      <c r="J54" s="171"/>
      <c r="K54" s="11"/>
      <c r="L54" s="50"/>
      <c r="M54" s="2"/>
      <c r="N54" s="52"/>
      <c r="O54" s="161"/>
      <c r="P54" s="157"/>
      <c r="Q54" s="26"/>
      <c r="R54" s="44"/>
      <c r="S54" s="26"/>
      <c r="T54" s="53"/>
      <c r="U54" s="54"/>
      <c r="V54" s="51"/>
      <c r="W54" s="52"/>
      <c r="X54" s="161"/>
      <c r="Y54" s="157"/>
      <c r="Z54" s="15"/>
      <c r="AA54" s="11"/>
      <c r="AB54" s="11"/>
      <c r="AC54" s="50"/>
      <c r="AD54" s="161"/>
      <c r="AE54" s="157"/>
      <c r="AF54" s="4"/>
      <c r="AG54" s="13">
        <f t="shared" si="0"/>
        <v>0</v>
      </c>
      <c r="AH54" s="87">
        <f t="shared" si="1"/>
        <v>18</v>
      </c>
      <c r="AI54" s="27">
        <f t="shared" si="2"/>
        <v>-18</v>
      </c>
      <c r="AJ54" s="63">
        <f t="shared" si="3"/>
        <v>0</v>
      </c>
      <c r="AK54" s="59"/>
      <c r="AL54" s="51"/>
      <c r="AM54" s="3"/>
      <c r="AN54" s="55"/>
      <c r="AO54" s="11"/>
      <c r="AP54" s="55"/>
      <c r="AQ54" s="11"/>
      <c r="AR54" s="55"/>
      <c r="AS54" s="11"/>
      <c r="AT54" s="55"/>
      <c r="AU54" s="11"/>
      <c r="AV54" s="55"/>
      <c r="AW54" s="11"/>
      <c r="AX54" s="55"/>
      <c r="AY54" s="11"/>
      <c r="AZ54" s="55"/>
      <c r="BA54" s="11"/>
      <c r="BB54" s="55"/>
      <c r="BC54" s="11"/>
      <c r="BD54" s="55"/>
      <c r="BE54" s="11"/>
      <c r="BF54" s="37"/>
    </row>
    <row r="55" spans="1:58" x14ac:dyDescent="0.25">
      <c r="A55" s="56"/>
      <c r="B55" s="17" t="s">
        <v>27</v>
      </c>
      <c r="C55" s="85">
        <v>42099</v>
      </c>
      <c r="D55" s="19">
        <v>28</v>
      </c>
      <c r="E55" s="42"/>
      <c r="F55" s="21">
        <v>0.20833333333333334</v>
      </c>
      <c r="G55" s="22"/>
      <c r="H55" s="160">
        <v>157</v>
      </c>
      <c r="I55" s="156"/>
      <c r="J55" s="172"/>
      <c r="K55" s="18"/>
      <c r="L55" s="20"/>
      <c r="M55" s="18"/>
      <c r="N55" s="20"/>
      <c r="O55" s="160"/>
      <c r="P55" s="156"/>
      <c r="Q55" s="18"/>
      <c r="R55" s="45"/>
      <c r="S55" s="84"/>
      <c r="T55" s="31"/>
      <c r="U55" s="42"/>
      <c r="V55" s="18"/>
      <c r="W55" s="20"/>
      <c r="X55" s="160"/>
      <c r="Y55" s="156"/>
      <c r="Z55" s="24"/>
      <c r="AA55" s="18"/>
      <c r="AB55" s="18"/>
      <c r="AC55" s="20"/>
      <c r="AD55" s="160"/>
      <c r="AE55" s="156"/>
      <c r="AF55" s="24"/>
      <c r="AG55" s="20">
        <f t="shared" si="0"/>
        <v>0</v>
      </c>
      <c r="AH55" s="88">
        <f t="shared" si="1"/>
        <v>28</v>
      </c>
      <c r="AI55" s="34">
        <f t="shared" si="2"/>
        <v>-28</v>
      </c>
      <c r="AJ55" s="58">
        <f t="shared" si="3"/>
        <v>0</v>
      </c>
      <c r="AK55" s="57">
        <f>SUM(AG50:AG55)</f>
        <v>8</v>
      </c>
      <c r="AL55" s="21">
        <f>SUM(AJ50:AJ55)</f>
        <v>0</v>
      </c>
      <c r="AM55" s="19"/>
      <c r="AN55" s="36"/>
      <c r="AO55" s="18"/>
      <c r="AP55" s="36"/>
      <c r="AQ55" s="18"/>
      <c r="AR55" s="36"/>
      <c r="AS55" s="18"/>
      <c r="AT55" s="36"/>
      <c r="AU55" s="18"/>
      <c r="AV55" s="36"/>
      <c r="AW55" s="18"/>
      <c r="AX55" s="36"/>
      <c r="AY55" s="18"/>
      <c r="AZ55" s="36"/>
      <c r="BA55" s="18"/>
      <c r="BB55" s="36"/>
      <c r="BC55" s="18"/>
      <c r="BD55" s="36"/>
      <c r="BE55" s="18"/>
      <c r="BF55" s="38"/>
    </row>
    <row r="56" spans="1:58" x14ac:dyDescent="0.25">
      <c r="A56" s="10"/>
      <c r="B56" s="1" t="s">
        <v>0</v>
      </c>
      <c r="C56" s="81">
        <v>42100</v>
      </c>
      <c r="D56" s="3">
        <v>10</v>
      </c>
      <c r="E56" s="54"/>
      <c r="F56" s="51"/>
      <c r="G56" s="52"/>
      <c r="H56" s="161">
        <v>130</v>
      </c>
      <c r="I56" s="157"/>
      <c r="J56" s="171"/>
      <c r="K56" s="11"/>
      <c r="L56" s="50"/>
      <c r="M56" s="51"/>
      <c r="N56" s="52"/>
      <c r="O56" s="161"/>
      <c r="P56" s="157"/>
      <c r="Q56" s="26"/>
      <c r="R56" s="44"/>
      <c r="S56" s="26"/>
      <c r="T56" s="53"/>
      <c r="U56" s="54"/>
      <c r="V56" s="11"/>
      <c r="W56" s="50"/>
      <c r="X56" s="161"/>
      <c r="Y56" s="157"/>
      <c r="Z56" s="4"/>
      <c r="AA56" s="11"/>
      <c r="AB56" s="11"/>
      <c r="AC56" s="52"/>
      <c r="AD56" s="161"/>
      <c r="AE56" s="157"/>
      <c r="AF56" s="15"/>
      <c r="AG56" s="13">
        <f t="shared" si="0"/>
        <v>0</v>
      </c>
      <c r="AH56" s="87">
        <f t="shared" si="1"/>
        <v>10</v>
      </c>
      <c r="AI56" s="27">
        <f t="shared" si="2"/>
        <v>-10</v>
      </c>
      <c r="AJ56" s="63">
        <f t="shared" si="3"/>
        <v>0</v>
      </c>
      <c r="AK56" s="59"/>
      <c r="AL56" s="51"/>
      <c r="AM56" s="3"/>
      <c r="AN56" s="9">
        <f>$AM$2-AM56</f>
        <v>80.7</v>
      </c>
      <c r="AP56" s="9">
        <f>$AO$2-AO56</f>
        <v>92</v>
      </c>
      <c r="AR56" s="9">
        <f>$AQ$2-AQ56</f>
        <v>95</v>
      </c>
      <c r="AT56" s="9">
        <f>$AS$2-AS56</f>
        <v>98</v>
      </c>
      <c r="AU56"/>
      <c r="AV56" s="9">
        <f>$AU$2-AU56</f>
        <v>58</v>
      </c>
      <c r="AX56" s="9">
        <f>$AW$2-AW56</f>
        <v>58</v>
      </c>
      <c r="AY56"/>
      <c r="AZ56" s="9">
        <f>$AY$2-AY56</f>
        <v>41</v>
      </c>
      <c r="BA56"/>
      <c r="BB56" s="9">
        <f>$BA$2-BA56</f>
        <v>41</v>
      </c>
      <c r="BC56"/>
      <c r="BD56" s="9">
        <f>$BC$2-BC56</f>
        <v>30</v>
      </c>
      <c r="BF56" s="37">
        <f>$BE$2-BE56</f>
        <v>30</v>
      </c>
    </row>
    <row r="57" spans="1:58" x14ac:dyDescent="0.25">
      <c r="A57" s="10"/>
      <c r="B57" s="1" t="s">
        <v>24</v>
      </c>
      <c r="C57" s="81">
        <v>42101</v>
      </c>
      <c r="D57" s="3"/>
      <c r="E57" s="54"/>
      <c r="F57" s="51"/>
      <c r="G57" s="52"/>
      <c r="H57" s="161"/>
      <c r="I57" s="157"/>
      <c r="J57" s="171"/>
      <c r="K57" s="11">
        <v>6</v>
      </c>
      <c r="L57" s="50"/>
      <c r="M57" s="51"/>
      <c r="N57" s="52"/>
      <c r="O57" s="161">
        <v>143</v>
      </c>
      <c r="P57" s="157"/>
      <c r="Q57" s="26"/>
      <c r="R57" s="44"/>
      <c r="S57" s="26"/>
      <c r="T57" s="53"/>
      <c r="U57" s="54"/>
      <c r="V57" s="11"/>
      <c r="W57" s="50"/>
      <c r="X57" s="161"/>
      <c r="Y57" s="157"/>
      <c r="Z57" s="4"/>
      <c r="AA57" s="11">
        <v>9</v>
      </c>
      <c r="AB57" s="51">
        <v>0.16666666666666666</v>
      </c>
      <c r="AC57" s="52"/>
      <c r="AD57" s="161">
        <v>170</v>
      </c>
      <c r="AE57" s="157"/>
      <c r="AF57" s="15"/>
      <c r="AG57" s="50">
        <f t="shared" si="0"/>
        <v>9</v>
      </c>
      <c r="AH57" s="87">
        <f t="shared" si="1"/>
        <v>15</v>
      </c>
      <c r="AI57" s="27">
        <f t="shared" si="2"/>
        <v>-6</v>
      </c>
      <c r="AJ57" s="63">
        <f t="shared" si="3"/>
        <v>0</v>
      </c>
      <c r="AK57" s="59"/>
      <c r="AL57" s="51"/>
      <c r="AM57" s="3"/>
      <c r="AU57"/>
      <c r="AY57"/>
      <c r="BA57"/>
      <c r="BC57"/>
      <c r="BF57" s="37"/>
    </row>
    <row r="58" spans="1:58" x14ac:dyDescent="0.25">
      <c r="A58" s="10">
        <v>15</v>
      </c>
      <c r="B58" s="1" t="s">
        <v>15</v>
      </c>
      <c r="C58" s="81">
        <v>42102</v>
      </c>
      <c r="D58" s="3">
        <v>10</v>
      </c>
      <c r="E58" s="54"/>
      <c r="F58" s="51"/>
      <c r="G58" s="52"/>
      <c r="H58" s="161">
        <v>130</v>
      </c>
      <c r="I58" s="157"/>
      <c r="J58" s="171"/>
      <c r="K58" s="11"/>
      <c r="L58" s="50"/>
      <c r="M58" s="51"/>
      <c r="N58" s="52"/>
      <c r="O58" s="161"/>
      <c r="P58" s="157"/>
      <c r="Q58" s="26"/>
      <c r="R58" s="44"/>
      <c r="S58" s="26"/>
      <c r="T58" s="53"/>
      <c r="U58" s="54"/>
      <c r="V58" s="11"/>
      <c r="W58" s="50"/>
      <c r="X58" s="161"/>
      <c r="Y58" s="157"/>
      <c r="Z58" s="4"/>
      <c r="AA58" s="11"/>
      <c r="AB58" s="11"/>
      <c r="AC58" s="52"/>
      <c r="AD58" s="161"/>
      <c r="AE58" s="157"/>
      <c r="AF58" s="15"/>
      <c r="AG58" s="50">
        <f t="shared" si="0"/>
        <v>0</v>
      </c>
      <c r="AH58" s="87">
        <f t="shared" si="1"/>
        <v>10</v>
      </c>
      <c r="AI58" s="27">
        <f t="shared" si="2"/>
        <v>-10</v>
      </c>
      <c r="AJ58" s="63">
        <f t="shared" si="3"/>
        <v>0</v>
      </c>
      <c r="AK58" s="59"/>
      <c r="AL58" s="51"/>
      <c r="AM58" s="3"/>
      <c r="AN58" s="55"/>
      <c r="AO58" s="11"/>
      <c r="AP58" s="55"/>
      <c r="AQ58" s="11"/>
      <c r="AR58" s="55"/>
      <c r="AS58" s="11"/>
      <c r="AT58" s="55"/>
      <c r="AU58" s="11"/>
      <c r="AV58" s="55"/>
      <c r="AW58" s="11"/>
      <c r="AX58" s="55"/>
      <c r="AY58" s="11"/>
      <c r="AZ58" s="55"/>
      <c r="BA58" s="11"/>
      <c r="BB58" s="55"/>
      <c r="BC58" s="11"/>
      <c r="BD58" s="55"/>
      <c r="BE58" s="11"/>
      <c r="BF58" s="37"/>
    </row>
    <row r="59" spans="1:58" x14ac:dyDescent="0.25">
      <c r="A59" s="10"/>
      <c r="B59" s="1" t="s">
        <v>26</v>
      </c>
      <c r="C59" s="81">
        <v>42103</v>
      </c>
      <c r="D59" s="3">
        <v>20</v>
      </c>
      <c r="E59" s="54"/>
      <c r="F59" s="51">
        <v>0.20833333333333334</v>
      </c>
      <c r="G59" s="52"/>
      <c r="H59" s="161">
        <v>143</v>
      </c>
      <c r="I59" s="157"/>
      <c r="J59" s="171"/>
      <c r="K59" s="11"/>
      <c r="L59" s="50"/>
      <c r="M59" s="51"/>
      <c r="N59" s="52"/>
      <c r="O59" s="161"/>
      <c r="P59" s="157"/>
      <c r="Q59" s="26"/>
      <c r="R59" s="44"/>
      <c r="S59" s="26"/>
      <c r="T59" s="53"/>
      <c r="U59" s="54"/>
      <c r="V59" s="11"/>
      <c r="W59" s="50"/>
      <c r="X59" s="161"/>
      <c r="Y59" s="157"/>
      <c r="Z59" s="4"/>
      <c r="AA59" s="11"/>
      <c r="AB59" s="11"/>
      <c r="AC59" s="52"/>
      <c r="AD59" s="161"/>
      <c r="AE59" s="157"/>
      <c r="AF59" s="15"/>
      <c r="AG59" s="13">
        <f>E59+L59+U59+AA59+R59</f>
        <v>0</v>
      </c>
      <c r="AH59" s="87">
        <f>D59+K59+U59+AA59+R59</f>
        <v>20</v>
      </c>
      <c r="AI59" s="27">
        <f>AG59-AH59</f>
        <v>-20</v>
      </c>
      <c r="AJ59" s="63">
        <f>J59+Q59+Z59+AF59+S59</f>
        <v>0</v>
      </c>
      <c r="AK59" s="59"/>
      <c r="AL59" s="51"/>
      <c r="AM59" s="3"/>
      <c r="AN59" s="55"/>
      <c r="AO59" s="11"/>
      <c r="AP59" s="55"/>
      <c r="AQ59" s="11"/>
      <c r="AR59" s="55"/>
      <c r="AS59" s="11"/>
      <c r="AT59" s="55"/>
      <c r="AU59" s="11"/>
      <c r="AV59" s="55"/>
      <c r="AW59" s="11"/>
      <c r="AX59" s="55"/>
      <c r="AY59" s="11"/>
      <c r="AZ59" s="55"/>
      <c r="BA59" s="11"/>
      <c r="BB59" s="55"/>
      <c r="BC59" s="11"/>
      <c r="BD59" s="55"/>
      <c r="BE59" s="11"/>
      <c r="BF59" s="37"/>
    </row>
    <row r="60" spans="1:58" x14ac:dyDescent="0.25">
      <c r="A60" s="10"/>
      <c r="B60" s="1" t="s">
        <v>29</v>
      </c>
      <c r="C60" s="81">
        <v>42104</v>
      </c>
      <c r="D60" s="3"/>
      <c r="E60" s="54"/>
      <c r="F60" s="51"/>
      <c r="G60" s="52"/>
      <c r="H60" s="161"/>
      <c r="I60" s="157"/>
      <c r="J60" s="171"/>
      <c r="K60" s="11">
        <v>6</v>
      </c>
      <c r="L60" s="50"/>
      <c r="M60" s="51"/>
      <c r="N60" s="52"/>
      <c r="O60" s="161">
        <v>143</v>
      </c>
      <c r="P60" s="157"/>
      <c r="Q60" s="26"/>
      <c r="R60" s="44"/>
      <c r="S60" s="26"/>
      <c r="T60" s="53"/>
      <c r="U60" s="54"/>
      <c r="V60" s="11"/>
      <c r="W60" s="50"/>
      <c r="X60" s="161"/>
      <c r="Y60" s="157"/>
      <c r="Z60" s="4"/>
      <c r="AA60" s="11">
        <v>4</v>
      </c>
      <c r="AB60" s="11"/>
      <c r="AC60" s="52"/>
      <c r="AD60" s="161">
        <v>184</v>
      </c>
      <c r="AE60" s="157"/>
      <c r="AF60" s="15"/>
      <c r="AG60" s="50">
        <f t="shared" si="0"/>
        <v>4</v>
      </c>
      <c r="AH60" s="87">
        <f t="shared" si="1"/>
        <v>10</v>
      </c>
      <c r="AI60" s="27">
        <f t="shared" si="2"/>
        <v>-6</v>
      </c>
      <c r="AJ60" s="63">
        <f t="shared" si="3"/>
        <v>0</v>
      </c>
      <c r="AK60" s="59"/>
      <c r="AL60" s="51"/>
      <c r="AM60" s="3"/>
      <c r="AN60" s="55"/>
      <c r="AO60" s="11"/>
      <c r="AP60" s="55"/>
      <c r="AQ60" s="11"/>
      <c r="AR60" s="55"/>
      <c r="AS60" s="11"/>
      <c r="AT60" s="55"/>
      <c r="AU60" s="11"/>
      <c r="AV60" s="55"/>
      <c r="AW60" s="11"/>
      <c r="AX60" s="55"/>
      <c r="AY60" s="11"/>
      <c r="AZ60" s="55"/>
      <c r="BA60" s="11"/>
      <c r="BB60" s="55"/>
      <c r="BC60" s="11"/>
      <c r="BD60" s="55"/>
      <c r="BE60" s="11"/>
      <c r="BF60" s="37"/>
    </row>
    <row r="61" spans="1:58" x14ac:dyDescent="0.25">
      <c r="A61" s="56"/>
      <c r="B61" s="17" t="s">
        <v>27</v>
      </c>
      <c r="C61" s="85">
        <v>42106</v>
      </c>
      <c r="D61" s="19">
        <v>30</v>
      </c>
      <c r="E61" s="42"/>
      <c r="F61" s="21">
        <v>0.20833333333333334</v>
      </c>
      <c r="G61" s="22"/>
      <c r="H61" s="160">
        <v>157</v>
      </c>
      <c r="I61" s="156"/>
      <c r="J61" s="172"/>
      <c r="K61" s="18"/>
      <c r="L61" s="20"/>
      <c r="M61" s="18"/>
      <c r="N61" s="20"/>
      <c r="O61" s="160"/>
      <c r="P61" s="156"/>
      <c r="Q61" s="18"/>
      <c r="R61" s="45"/>
      <c r="S61" s="84"/>
      <c r="T61" s="31"/>
      <c r="U61" s="42"/>
      <c r="V61" s="18"/>
      <c r="W61" s="20"/>
      <c r="X61" s="160"/>
      <c r="Y61" s="156"/>
      <c r="Z61" s="24"/>
      <c r="AA61" s="18"/>
      <c r="AB61" s="18"/>
      <c r="AC61" s="20"/>
      <c r="AD61" s="160"/>
      <c r="AE61" s="156"/>
      <c r="AF61" s="24"/>
      <c r="AG61" s="20">
        <f t="shared" si="0"/>
        <v>0</v>
      </c>
      <c r="AH61" s="88">
        <f t="shared" si="1"/>
        <v>30</v>
      </c>
      <c r="AI61" s="34">
        <f t="shared" si="2"/>
        <v>-30</v>
      </c>
      <c r="AJ61" s="58">
        <f t="shared" si="3"/>
        <v>0</v>
      </c>
      <c r="AK61" s="57">
        <f>SUM(AG56:AG61)</f>
        <v>13</v>
      </c>
      <c r="AL61" s="21">
        <f>SUM(AJ56:AJ61)</f>
        <v>0</v>
      </c>
      <c r="AM61" s="19"/>
      <c r="AN61" s="36"/>
      <c r="AO61" s="18"/>
      <c r="AP61" s="36"/>
      <c r="AQ61" s="18"/>
      <c r="AR61" s="36"/>
      <c r="AS61" s="18"/>
      <c r="AT61" s="36"/>
      <c r="AU61" s="18"/>
      <c r="AV61" s="36"/>
      <c r="AW61" s="18"/>
      <c r="AX61" s="36"/>
      <c r="AY61" s="18"/>
      <c r="AZ61" s="36"/>
      <c r="BA61" s="18"/>
      <c r="BB61" s="36"/>
      <c r="BC61" s="18"/>
      <c r="BD61" s="36"/>
      <c r="BE61" s="18"/>
      <c r="BF61" s="38"/>
    </row>
    <row r="62" spans="1:58" x14ac:dyDescent="0.25">
      <c r="A62" s="10"/>
      <c r="B62" s="1" t="s">
        <v>0</v>
      </c>
      <c r="C62" s="81">
        <v>42107</v>
      </c>
      <c r="D62" s="3">
        <v>10</v>
      </c>
      <c r="E62" s="54"/>
      <c r="F62" s="51"/>
      <c r="G62" s="52"/>
      <c r="H62" s="161">
        <v>130</v>
      </c>
      <c r="I62" s="157"/>
      <c r="J62" s="171"/>
      <c r="K62" s="11"/>
      <c r="L62" s="50"/>
      <c r="M62" s="51"/>
      <c r="N62" s="52"/>
      <c r="O62" s="161"/>
      <c r="P62" s="157"/>
      <c r="Q62" s="26"/>
      <c r="R62" s="44"/>
      <c r="S62" s="26"/>
      <c r="T62" s="53"/>
      <c r="U62" s="54"/>
      <c r="V62" s="11"/>
      <c r="W62" s="50"/>
      <c r="X62" s="161"/>
      <c r="Y62" s="157"/>
      <c r="Z62" s="4"/>
      <c r="AA62" s="11"/>
      <c r="AB62" s="11"/>
      <c r="AC62" s="52"/>
      <c r="AD62" s="161"/>
      <c r="AE62" s="157"/>
      <c r="AF62" s="15"/>
      <c r="AG62" s="13">
        <f t="shared" si="0"/>
        <v>0</v>
      </c>
      <c r="AH62" s="87">
        <f t="shared" si="1"/>
        <v>10</v>
      </c>
      <c r="AI62" s="27">
        <f t="shared" si="2"/>
        <v>-10</v>
      </c>
      <c r="AJ62" s="63">
        <f t="shared" si="3"/>
        <v>0</v>
      </c>
      <c r="AK62" s="59"/>
      <c r="AL62" s="51"/>
      <c r="AM62" s="3"/>
      <c r="AN62" s="9">
        <f>$AM$2-AM62</f>
        <v>80.7</v>
      </c>
      <c r="AP62" s="9">
        <f>$AO$2-AO62</f>
        <v>92</v>
      </c>
      <c r="AR62" s="9">
        <f>$AQ$2-AQ62</f>
        <v>95</v>
      </c>
      <c r="AT62" s="9">
        <f>$AS$2-AS62</f>
        <v>98</v>
      </c>
      <c r="AU62"/>
      <c r="AV62" s="9">
        <f>$AU$2-AU62</f>
        <v>58</v>
      </c>
      <c r="AX62" s="9">
        <f>$AW$2-AW62</f>
        <v>58</v>
      </c>
      <c r="AY62"/>
      <c r="AZ62" s="9">
        <f>$AY$2-AY62</f>
        <v>41</v>
      </c>
      <c r="BA62"/>
      <c r="BB62" s="9">
        <f>$BA$2-BA62</f>
        <v>41</v>
      </c>
      <c r="BC62"/>
      <c r="BD62" s="9">
        <f>$BC$2-BC62</f>
        <v>30</v>
      </c>
      <c r="BF62" s="37">
        <f>$BE$2-BE62</f>
        <v>30</v>
      </c>
    </row>
    <row r="63" spans="1:58" x14ac:dyDescent="0.25">
      <c r="A63" s="10"/>
      <c r="B63" s="1" t="s">
        <v>24</v>
      </c>
      <c r="C63" s="81">
        <v>42108</v>
      </c>
      <c r="D63" s="3"/>
      <c r="E63" s="54"/>
      <c r="F63" s="51"/>
      <c r="G63" s="52"/>
      <c r="H63" s="161"/>
      <c r="I63" s="157"/>
      <c r="J63" s="171"/>
      <c r="K63" s="11">
        <v>6</v>
      </c>
      <c r="L63" s="50"/>
      <c r="M63" s="11"/>
      <c r="N63" s="52"/>
      <c r="O63" s="161">
        <v>143</v>
      </c>
      <c r="P63" s="157"/>
      <c r="Q63" s="26"/>
      <c r="R63" s="44"/>
      <c r="S63" s="26"/>
      <c r="T63" s="53"/>
      <c r="U63" s="54"/>
      <c r="V63" s="11"/>
      <c r="W63" s="50"/>
      <c r="X63" s="161"/>
      <c r="Y63" s="157"/>
      <c r="Z63" s="4"/>
      <c r="AA63" s="11">
        <v>7</v>
      </c>
      <c r="AB63" s="51">
        <v>0.16666666666666666</v>
      </c>
      <c r="AC63" s="52"/>
      <c r="AD63" s="161">
        <v>170</v>
      </c>
      <c r="AE63" s="157"/>
      <c r="AF63" s="15"/>
      <c r="AG63" s="13">
        <f t="shared" si="0"/>
        <v>7</v>
      </c>
      <c r="AH63" s="87">
        <f t="shared" si="1"/>
        <v>13</v>
      </c>
      <c r="AI63" s="27">
        <f t="shared" si="2"/>
        <v>-6</v>
      </c>
      <c r="AJ63" s="63">
        <f t="shared" si="3"/>
        <v>0</v>
      </c>
      <c r="AK63" s="59"/>
      <c r="AL63" s="51"/>
      <c r="AM63" s="3"/>
      <c r="AU63"/>
      <c r="AY63"/>
      <c r="BA63"/>
      <c r="BC63"/>
      <c r="BF63" s="37"/>
    </row>
    <row r="64" spans="1:58" x14ac:dyDescent="0.25">
      <c r="A64" s="10">
        <v>16</v>
      </c>
      <c r="B64" s="1" t="s">
        <v>15</v>
      </c>
      <c r="C64" s="81">
        <v>42109</v>
      </c>
      <c r="D64" s="3">
        <v>10</v>
      </c>
      <c r="E64" s="54"/>
      <c r="F64" s="51"/>
      <c r="G64" s="52"/>
      <c r="H64" s="161">
        <v>130</v>
      </c>
      <c r="I64" s="157"/>
      <c r="J64" s="171"/>
      <c r="K64" s="11"/>
      <c r="L64" s="52"/>
      <c r="M64" s="51"/>
      <c r="N64" s="52"/>
      <c r="O64" s="161"/>
      <c r="P64" s="157"/>
      <c r="Q64" s="26"/>
      <c r="R64" s="44"/>
      <c r="S64" s="26"/>
      <c r="T64" s="53"/>
      <c r="U64" s="54"/>
      <c r="V64" s="11"/>
      <c r="W64" s="50"/>
      <c r="X64" s="161"/>
      <c r="Y64" s="157"/>
      <c r="Z64" s="4"/>
      <c r="AA64" s="11"/>
      <c r="AB64" s="11"/>
      <c r="AC64" s="52"/>
      <c r="AD64" s="161"/>
      <c r="AE64" s="157"/>
      <c r="AF64" s="15"/>
      <c r="AG64" s="13">
        <f t="shared" si="0"/>
        <v>0</v>
      </c>
      <c r="AH64" s="87">
        <f t="shared" si="1"/>
        <v>10</v>
      </c>
      <c r="AI64" s="27">
        <f t="shared" si="2"/>
        <v>-10</v>
      </c>
      <c r="AJ64" s="63">
        <f t="shared" si="3"/>
        <v>0</v>
      </c>
      <c r="AK64" s="59"/>
      <c r="AL64" s="51"/>
      <c r="AM64" s="3"/>
      <c r="AN64" s="55"/>
      <c r="AO64" s="11"/>
      <c r="AP64" s="55"/>
      <c r="AQ64" s="11"/>
      <c r="AR64" s="55"/>
      <c r="AS64" s="11"/>
      <c r="AT64" s="55"/>
      <c r="AU64" s="11"/>
      <c r="AV64" s="55"/>
      <c r="AW64" s="11"/>
      <c r="AX64" s="55"/>
      <c r="AY64" s="11"/>
      <c r="AZ64" s="55"/>
      <c r="BA64" s="11"/>
      <c r="BB64" s="55"/>
      <c r="BC64" s="11"/>
      <c r="BD64" s="55"/>
      <c r="BE64" s="11"/>
      <c r="BF64" s="37"/>
    </row>
    <row r="65" spans="1:58" x14ac:dyDescent="0.25">
      <c r="A65" s="10"/>
      <c r="B65" s="1" t="s">
        <v>26</v>
      </c>
      <c r="C65" s="176">
        <v>42110</v>
      </c>
      <c r="D65" s="189">
        <v>12</v>
      </c>
      <c r="E65" s="54"/>
      <c r="F65" s="51">
        <v>0.20833333333333334</v>
      </c>
      <c r="G65" s="52"/>
      <c r="H65" s="161">
        <v>143</v>
      </c>
      <c r="I65" s="157"/>
      <c r="J65" s="171"/>
      <c r="K65" s="11"/>
      <c r="L65" s="52"/>
      <c r="M65" s="51"/>
      <c r="N65" s="52"/>
      <c r="O65" s="161"/>
      <c r="P65" s="157"/>
      <c r="Q65" s="26"/>
      <c r="R65" s="44"/>
      <c r="S65" s="26"/>
      <c r="T65" s="53"/>
      <c r="U65" s="54"/>
      <c r="V65" s="11"/>
      <c r="W65" s="50"/>
      <c r="X65" s="161"/>
      <c r="Y65" s="157"/>
      <c r="Z65" s="4"/>
      <c r="AA65" s="11"/>
      <c r="AB65" s="11"/>
      <c r="AC65" s="52"/>
      <c r="AD65" s="161"/>
      <c r="AE65" s="157"/>
      <c r="AF65" s="15"/>
      <c r="AG65" s="13">
        <f>E65+L65+U65+AA65+R65</f>
        <v>0</v>
      </c>
      <c r="AH65" s="87">
        <f>D65+K65+U65+AA65+R65</f>
        <v>12</v>
      </c>
      <c r="AI65" s="27">
        <f>AG65-AH65</f>
        <v>-12</v>
      </c>
      <c r="AJ65" s="63">
        <f>J65+Q65+Z65+AF65+S65</f>
        <v>0</v>
      </c>
      <c r="AK65" s="59"/>
      <c r="AL65" s="51"/>
      <c r="AM65" s="3"/>
      <c r="AN65" s="55"/>
      <c r="AO65" s="11"/>
      <c r="AP65" s="55"/>
      <c r="AQ65" s="11"/>
      <c r="AR65" s="55"/>
      <c r="AS65" s="11"/>
      <c r="AT65" s="55"/>
      <c r="AU65" s="11"/>
      <c r="AV65" s="55"/>
      <c r="AW65" s="11"/>
      <c r="AX65" s="55"/>
      <c r="AY65" s="11"/>
      <c r="AZ65" s="55"/>
      <c r="BA65" s="11"/>
      <c r="BB65" s="55"/>
      <c r="BC65" s="11"/>
      <c r="BD65" s="55"/>
      <c r="BE65" s="11"/>
      <c r="BF65" s="37"/>
    </row>
    <row r="66" spans="1:58" x14ac:dyDescent="0.25">
      <c r="A66" s="10"/>
      <c r="B66" s="1" t="s">
        <v>29</v>
      </c>
      <c r="C66" s="176">
        <v>42111</v>
      </c>
      <c r="D66" s="3">
        <v>21</v>
      </c>
      <c r="E66" s="54"/>
      <c r="F66" s="51">
        <v>0.20833333333333334</v>
      </c>
      <c r="G66" s="52"/>
      <c r="H66" s="161">
        <v>143</v>
      </c>
      <c r="I66" s="157"/>
      <c r="J66" s="171"/>
      <c r="K66" s="11"/>
      <c r="L66" s="52"/>
      <c r="M66" s="51"/>
      <c r="N66" s="52"/>
      <c r="O66" s="161"/>
      <c r="P66" s="157"/>
      <c r="Q66" s="26"/>
      <c r="R66" s="44"/>
      <c r="S66" s="26"/>
      <c r="T66" s="53"/>
      <c r="U66" s="54"/>
      <c r="V66" s="11"/>
      <c r="W66" s="50"/>
      <c r="X66" s="161"/>
      <c r="Y66" s="157"/>
      <c r="Z66" s="4"/>
      <c r="AA66" s="11"/>
      <c r="AB66" s="11"/>
      <c r="AC66" s="52"/>
      <c r="AD66" s="161"/>
      <c r="AE66" s="157"/>
      <c r="AF66" s="15"/>
      <c r="AG66" s="13">
        <f t="shared" si="0"/>
        <v>0</v>
      </c>
      <c r="AH66" s="87">
        <f t="shared" si="1"/>
        <v>21</v>
      </c>
      <c r="AI66" s="27">
        <f t="shared" si="2"/>
        <v>-21</v>
      </c>
      <c r="AJ66" s="63">
        <f t="shared" si="3"/>
        <v>0</v>
      </c>
      <c r="AK66" s="59"/>
      <c r="AL66" s="51"/>
      <c r="AM66" s="3"/>
      <c r="AN66" s="55"/>
      <c r="AO66" s="11"/>
      <c r="AP66" s="55"/>
      <c r="AQ66" s="11"/>
      <c r="AR66" s="55"/>
      <c r="AS66" s="11"/>
      <c r="AT66" s="55"/>
      <c r="AU66" s="11"/>
      <c r="AV66" s="55"/>
      <c r="AW66" s="11"/>
      <c r="AX66" s="55"/>
      <c r="AY66" s="11"/>
      <c r="AZ66" s="55"/>
      <c r="BA66" s="11"/>
      <c r="BB66" s="55"/>
      <c r="BC66" s="11"/>
      <c r="BD66" s="55"/>
      <c r="BE66" s="11"/>
      <c r="BF66" s="37"/>
    </row>
    <row r="67" spans="1:58" x14ac:dyDescent="0.25">
      <c r="A67" s="56"/>
      <c r="B67" s="17" t="s">
        <v>27</v>
      </c>
      <c r="C67" s="85">
        <v>42113</v>
      </c>
      <c r="D67" s="19">
        <v>32</v>
      </c>
      <c r="E67" s="42"/>
      <c r="F67" s="21">
        <v>0.20833333333333334</v>
      </c>
      <c r="G67" s="22"/>
      <c r="H67" s="160">
        <v>143</v>
      </c>
      <c r="I67" s="156"/>
      <c r="J67" s="172"/>
      <c r="K67" s="18"/>
      <c r="L67" s="20"/>
      <c r="M67" s="18"/>
      <c r="N67" s="20"/>
      <c r="O67" s="160"/>
      <c r="P67" s="156"/>
      <c r="Q67" s="18"/>
      <c r="R67" s="45"/>
      <c r="S67" s="84"/>
      <c r="T67" s="31"/>
      <c r="U67" s="42"/>
      <c r="V67" s="18"/>
      <c r="W67" s="20"/>
      <c r="X67" s="160"/>
      <c r="Y67" s="156"/>
      <c r="Z67" s="24"/>
      <c r="AA67" s="18"/>
      <c r="AB67" s="18"/>
      <c r="AC67" s="20"/>
      <c r="AD67" s="160"/>
      <c r="AE67" s="156"/>
      <c r="AF67" s="24"/>
      <c r="AG67" s="20">
        <f t="shared" si="0"/>
        <v>0</v>
      </c>
      <c r="AH67" s="88">
        <f t="shared" si="1"/>
        <v>32</v>
      </c>
      <c r="AI67" s="34">
        <f t="shared" si="2"/>
        <v>-32</v>
      </c>
      <c r="AJ67" s="58">
        <f t="shared" si="3"/>
        <v>0</v>
      </c>
      <c r="AK67" s="57">
        <f>SUM(AG62:AG67)</f>
        <v>7</v>
      </c>
      <c r="AL67" s="21">
        <f>SUM(AJ62:AJ67)</f>
        <v>0</v>
      </c>
      <c r="AM67" s="19"/>
      <c r="AN67" s="36"/>
      <c r="AO67" s="18"/>
      <c r="AP67" s="36"/>
      <c r="AQ67" s="18"/>
      <c r="AR67" s="36"/>
      <c r="AS67" s="18"/>
      <c r="AT67" s="36"/>
      <c r="AU67" s="18"/>
      <c r="AV67" s="36"/>
      <c r="AW67" s="18"/>
      <c r="AX67" s="36"/>
      <c r="AY67" s="18"/>
      <c r="AZ67" s="36"/>
      <c r="BA67" s="18"/>
      <c r="BB67" s="36"/>
      <c r="BC67" s="18"/>
      <c r="BD67" s="36"/>
      <c r="BE67" s="18"/>
      <c r="BF67" s="38"/>
    </row>
    <row r="68" spans="1:58" x14ac:dyDescent="0.25">
      <c r="A68" s="10"/>
      <c r="B68" s="1" t="s">
        <v>0</v>
      </c>
      <c r="C68" s="81">
        <v>42114</v>
      </c>
      <c r="D68" s="3">
        <v>10</v>
      </c>
      <c r="E68" s="54"/>
      <c r="F68" s="2"/>
      <c r="G68" s="52"/>
      <c r="H68" s="161">
        <v>130</v>
      </c>
      <c r="I68" s="157"/>
      <c r="J68" s="171"/>
      <c r="K68" s="11"/>
      <c r="L68" s="50"/>
      <c r="M68" s="11"/>
      <c r="N68" s="50"/>
      <c r="O68" s="161"/>
      <c r="P68" s="157"/>
      <c r="Q68" s="11"/>
      <c r="R68" s="44"/>
      <c r="S68" s="26"/>
      <c r="T68" s="53"/>
      <c r="U68" s="54"/>
      <c r="V68" s="11"/>
      <c r="W68" s="50"/>
      <c r="X68" s="161"/>
      <c r="Y68" s="157"/>
      <c r="Z68" s="4"/>
      <c r="AA68" s="11"/>
      <c r="AB68" s="11"/>
      <c r="AC68" s="50"/>
      <c r="AD68" s="161"/>
      <c r="AE68" s="157"/>
      <c r="AF68" s="4"/>
      <c r="AG68" s="13">
        <f t="shared" si="0"/>
        <v>0</v>
      </c>
      <c r="AH68" s="87">
        <f t="shared" si="1"/>
        <v>10</v>
      </c>
      <c r="AI68" s="27">
        <f t="shared" si="2"/>
        <v>-10</v>
      </c>
      <c r="AJ68" s="63">
        <f t="shared" si="3"/>
        <v>0</v>
      </c>
      <c r="AK68" s="59"/>
      <c r="AL68" s="51"/>
      <c r="AM68" s="3"/>
      <c r="AN68" s="9">
        <f>$AM$2-AM68</f>
        <v>80.7</v>
      </c>
      <c r="AP68" s="9">
        <f>$AO$2-AO68</f>
        <v>92</v>
      </c>
      <c r="AR68" s="9">
        <f>$AQ$2-AQ68</f>
        <v>95</v>
      </c>
      <c r="AT68" s="9">
        <f>$AS$2-AS68</f>
        <v>98</v>
      </c>
      <c r="AU68"/>
      <c r="AV68" s="9">
        <f>$AU$2-AU68</f>
        <v>58</v>
      </c>
      <c r="AX68" s="9">
        <f>$AW$2-AW68</f>
        <v>58</v>
      </c>
      <c r="AY68"/>
      <c r="AZ68" s="9">
        <f>$AY$2-AY68</f>
        <v>41</v>
      </c>
      <c r="BA68"/>
      <c r="BB68" s="9">
        <f>$BA$2-BA68</f>
        <v>41</v>
      </c>
      <c r="BC68"/>
      <c r="BD68" s="9">
        <f>$BC$2-BC68</f>
        <v>30</v>
      </c>
      <c r="BF68" s="37">
        <f>$BE$2-BE68</f>
        <v>30</v>
      </c>
    </row>
    <row r="69" spans="1:58" x14ac:dyDescent="0.25">
      <c r="A69" s="10"/>
      <c r="B69" s="1" t="s">
        <v>24</v>
      </c>
      <c r="C69" s="81">
        <v>42115</v>
      </c>
      <c r="D69" s="3">
        <v>10</v>
      </c>
      <c r="E69" s="54"/>
      <c r="F69" s="2"/>
      <c r="G69" s="52"/>
      <c r="H69" s="161">
        <v>130</v>
      </c>
      <c r="I69" s="157"/>
      <c r="J69" s="171"/>
      <c r="K69" s="11"/>
      <c r="L69" s="50"/>
      <c r="M69" s="51"/>
      <c r="N69" s="52"/>
      <c r="O69" s="161"/>
      <c r="P69" s="157"/>
      <c r="Q69" s="26"/>
      <c r="R69" s="44"/>
      <c r="S69" s="26"/>
      <c r="T69" s="53"/>
      <c r="U69" s="54"/>
      <c r="V69" s="11"/>
      <c r="W69" s="50"/>
      <c r="X69" s="161"/>
      <c r="Y69" s="157"/>
      <c r="Z69" s="4"/>
      <c r="AA69" s="11"/>
      <c r="AB69" s="51"/>
      <c r="AC69" s="52"/>
      <c r="AD69" s="161"/>
      <c r="AE69" s="157"/>
      <c r="AF69" s="15"/>
      <c r="AG69" s="13">
        <f t="shared" si="0"/>
        <v>0</v>
      </c>
      <c r="AH69" s="87">
        <f t="shared" si="1"/>
        <v>10</v>
      </c>
      <c r="AI69" s="27">
        <f t="shared" si="2"/>
        <v>-10</v>
      </c>
      <c r="AJ69" s="63">
        <f t="shared" si="3"/>
        <v>0</v>
      </c>
      <c r="AK69" s="59"/>
      <c r="AL69" s="51"/>
      <c r="AM69" s="3"/>
      <c r="AU69"/>
      <c r="AY69"/>
      <c r="BA69"/>
      <c r="BC69"/>
      <c r="BF69" s="37"/>
    </row>
    <row r="70" spans="1:58" x14ac:dyDescent="0.25">
      <c r="A70" s="10">
        <v>17</v>
      </c>
      <c r="B70" s="1" t="s">
        <v>15</v>
      </c>
      <c r="C70" s="81">
        <v>42116</v>
      </c>
      <c r="D70" s="3"/>
      <c r="E70" s="54"/>
      <c r="F70" s="51"/>
      <c r="G70" s="52"/>
      <c r="H70" s="161"/>
      <c r="I70" s="157"/>
      <c r="J70" s="171"/>
      <c r="K70" s="11">
        <v>3</v>
      </c>
      <c r="L70" s="50"/>
      <c r="M70" s="2"/>
      <c r="N70" s="52"/>
      <c r="O70" s="161">
        <v>143</v>
      </c>
      <c r="P70" s="157"/>
      <c r="Q70" s="26"/>
      <c r="R70" s="44"/>
      <c r="S70" s="26"/>
      <c r="T70" s="53"/>
      <c r="U70" s="54"/>
      <c r="V70" s="51"/>
      <c r="W70" s="52"/>
      <c r="X70" s="161"/>
      <c r="Y70" s="157"/>
      <c r="Z70" s="15"/>
      <c r="AA70" s="11">
        <v>10</v>
      </c>
      <c r="AB70" s="11"/>
      <c r="AC70" s="50"/>
      <c r="AD70" s="161">
        <v>184</v>
      </c>
      <c r="AE70" s="157"/>
      <c r="AF70" s="4"/>
      <c r="AG70" s="13">
        <f t="shared" si="0"/>
        <v>10</v>
      </c>
      <c r="AH70" s="87">
        <f t="shared" si="1"/>
        <v>13</v>
      </c>
      <c r="AI70" s="27">
        <f t="shared" si="2"/>
        <v>-3</v>
      </c>
      <c r="AJ70" s="63">
        <f t="shared" si="3"/>
        <v>0</v>
      </c>
      <c r="AK70" s="59"/>
      <c r="AL70" s="51"/>
      <c r="AM70" s="3"/>
      <c r="AN70" s="55"/>
      <c r="AO70" s="11"/>
      <c r="AP70" s="55"/>
      <c r="AQ70" s="11"/>
      <c r="AR70" s="55"/>
      <c r="AS70" s="11"/>
      <c r="AT70" s="55"/>
      <c r="AU70" s="11"/>
      <c r="AV70" s="55"/>
      <c r="AW70" s="11"/>
      <c r="AX70" s="55"/>
      <c r="AY70" s="11"/>
      <c r="AZ70" s="55"/>
      <c r="BA70" s="11"/>
      <c r="BB70" s="55"/>
      <c r="BC70" s="11"/>
      <c r="BD70" s="55"/>
      <c r="BE70" s="11"/>
      <c r="BF70" s="37"/>
    </row>
    <row r="71" spans="1:58" x14ac:dyDescent="0.25">
      <c r="A71" s="10"/>
      <c r="B71" s="1" t="s">
        <v>26</v>
      </c>
      <c r="C71" s="81">
        <v>42117</v>
      </c>
      <c r="D71" s="3">
        <v>10</v>
      </c>
      <c r="E71" s="54"/>
      <c r="F71" s="51">
        <v>0.20833333333333334</v>
      </c>
      <c r="G71" s="52"/>
      <c r="H71" s="161">
        <v>143</v>
      </c>
      <c r="I71" s="157"/>
      <c r="J71" s="171"/>
      <c r="K71" s="11"/>
      <c r="L71" s="50"/>
      <c r="M71" s="2"/>
      <c r="N71" s="52"/>
      <c r="O71" s="161"/>
      <c r="P71" s="157"/>
      <c r="Q71" s="26"/>
      <c r="R71" s="44"/>
      <c r="S71" s="26"/>
      <c r="T71" s="53"/>
      <c r="U71" s="54"/>
      <c r="V71" s="51"/>
      <c r="W71" s="52"/>
      <c r="X71" s="161"/>
      <c r="Y71" s="157"/>
      <c r="Z71" s="15"/>
      <c r="AA71" s="11"/>
      <c r="AB71" s="11"/>
      <c r="AC71" s="50"/>
      <c r="AD71" s="161"/>
      <c r="AE71" s="157"/>
      <c r="AF71" s="4"/>
      <c r="AG71" s="13">
        <f>E71+L71+U71+AA71+R71</f>
        <v>0</v>
      </c>
      <c r="AH71" s="87">
        <f>D71+K71+U71+AA71+R71</f>
        <v>10</v>
      </c>
      <c r="AI71" s="27">
        <f>AG71-AH71</f>
        <v>-10</v>
      </c>
      <c r="AJ71" s="63">
        <f>J71+Q71+Z71+AF71+S71</f>
        <v>0</v>
      </c>
      <c r="AK71" s="59"/>
      <c r="AL71" s="51"/>
      <c r="AM71" s="3"/>
      <c r="AN71" s="55"/>
      <c r="AO71" s="11"/>
      <c r="AP71" s="55"/>
      <c r="AQ71" s="11"/>
      <c r="AR71" s="55"/>
      <c r="AS71" s="11"/>
      <c r="AT71" s="55"/>
      <c r="AU71" s="11"/>
      <c r="AV71" s="55"/>
      <c r="AW71" s="11"/>
      <c r="AX71" s="55"/>
      <c r="AY71" s="11"/>
      <c r="AZ71" s="55"/>
      <c r="BA71" s="11"/>
      <c r="BB71" s="55"/>
      <c r="BC71" s="11"/>
      <c r="BD71" s="55"/>
      <c r="BE71" s="11"/>
      <c r="BF71" s="37"/>
    </row>
    <row r="72" spans="1:58" x14ac:dyDescent="0.25">
      <c r="A72" s="10"/>
      <c r="B72" s="1" t="s">
        <v>29</v>
      </c>
      <c r="C72" s="81">
        <v>42118</v>
      </c>
      <c r="D72" s="3">
        <v>10</v>
      </c>
      <c r="E72" s="54"/>
      <c r="F72" s="51">
        <v>0.20833333333333334</v>
      </c>
      <c r="G72" s="52"/>
      <c r="H72" s="161">
        <v>143</v>
      </c>
      <c r="I72" s="157"/>
      <c r="J72" s="171"/>
      <c r="K72" s="11"/>
      <c r="L72" s="50"/>
      <c r="M72" s="2"/>
      <c r="N72" s="52"/>
      <c r="O72" s="161"/>
      <c r="P72" s="157"/>
      <c r="Q72" s="26"/>
      <c r="R72" s="44"/>
      <c r="S72" s="26"/>
      <c r="T72" s="53"/>
      <c r="U72" s="54"/>
      <c r="V72" s="51"/>
      <c r="W72" s="52"/>
      <c r="X72" s="161"/>
      <c r="Y72" s="157"/>
      <c r="Z72" s="15"/>
      <c r="AA72" s="11"/>
      <c r="AB72" s="11"/>
      <c r="AC72" s="50"/>
      <c r="AD72" s="161"/>
      <c r="AE72" s="157"/>
      <c r="AF72" s="4"/>
      <c r="AG72" s="13">
        <f t="shared" si="0"/>
        <v>0</v>
      </c>
      <c r="AH72" s="87">
        <f t="shared" si="1"/>
        <v>10</v>
      </c>
      <c r="AI72" s="27">
        <f t="shared" si="2"/>
        <v>-10</v>
      </c>
      <c r="AJ72" s="63">
        <f t="shared" si="3"/>
        <v>0</v>
      </c>
      <c r="AK72" s="59"/>
      <c r="AL72" s="51"/>
      <c r="AM72" s="3"/>
      <c r="AN72" s="55"/>
      <c r="AO72" s="11"/>
      <c r="AP72" s="55"/>
      <c r="AQ72" s="11"/>
      <c r="AR72" s="55"/>
      <c r="AS72" s="11"/>
      <c r="AT72" s="55"/>
      <c r="AU72" s="11"/>
      <c r="AV72" s="55"/>
      <c r="AW72" s="11"/>
      <c r="AX72" s="55"/>
      <c r="AY72" s="11"/>
      <c r="AZ72" s="55"/>
      <c r="BA72" s="11"/>
      <c r="BB72" s="55"/>
      <c r="BC72" s="11"/>
      <c r="BD72" s="55"/>
      <c r="BE72" s="11"/>
      <c r="BF72" s="37"/>
    </row>
    <row r="73" spans="1:58" x14ac:dyDescent="0.25">
      <c r="A73" s="56"/>
      <c r="B73" s="17" t="s">
        <v>27</v>
      </c>
      <c r="C73" s="85">
        <v>42120</v>
      </c>
      <c r="D73" s="19">
        <v>24</v>
      </c>
      <c r="E73" s="42"/>
      <c r="F73" s="21">
        <v>0.20833333333333334</v>
      </c>
      <c r="G73" s="22"/>
      <c r="H73" s="160">
        <v>143</v>
      </c>
      <c r="I73" s="156"/>
      <c r="J73" s="172"/>
      <c r="K73" s="18"/>
      <c r="L73" s="20"/>
      <c r="M73" s="18"/>
      <c r="N73" s="20"/>
      <c r="O73" s="160"/>
      <c r="P73" s="156"/>
      <c r="Q73" s="18"/>
      <c r="R73" s="45"/>
      <c r="S73" s="84"/>
      <c r="T73" s="31"/>
      <c r="U73" s="42"/>
      <c r="V73" s="21"/>
      <c r="W73" s="22"/>
      <c r="X73" s="160"/>
      <c r="Y73" s="156"/>
      <c r="Z73" s="23"/>
      <c r="AA73" s="18"/>
      <c r="AB73" s="18"/>
      <c r="AC73" s="20"/>
      <c r="AD73" s="160"/>
      <c r="AE73" s="156"/>
      <c r="AF73" s="23"/>
      <c r="AG73" s="20">
        <f t="shared" si="0"/>
        <v>0</v>
      </c>
      <c r="AH73" s="88">
        <f t="shared" si="1"/>
        <v>24</v>
      </c>
      <c r="AI73" s="34">
        <f t="shared" si="2"/>
        <v>-24</v>
      </c>
      <c r="AJ73" s="58">
        <f t="shared" si="3"/>
        <v>0</v>
      </c>
      <c r="AK73" s="57">
        <f>SUM(AG68:AG73)</f>
        <v>10</v>
      </c>
      <c r="AL73" s="21">
        <f>SUM(AJ68:AJ73)</f>
        <v>0</v>
      </c>
      <c r="AM73" s="19"/>
      <c r="AN73" s="36"/>
      <c r="AO73" s="18"/>
      <c r="AP73" s="36"/>
      <c r="AQ73" s="18"/>
      <c r="AR73" s="36"/>
      <c r="AS73" s="18"/>
      <c r="AT73" s="36"/>
      <c r="AU73" s="18"/>
      <c r="AV73" s="36"/>
      <c r="AW73" s="18"/>
      <c r="AX73" s="36"/>
      <c r="AY73" s="18"/>
      <c r="AZ73" s="36"/>
      <c r="BA73" s="18"/>
      <c r="BB73" s="36"/>
      <c r="BC73" s="18"/>
      <c r="BD73" s="36"/>
      <c r="BE73" s="18"/>
      <c r="BF73" s="38"/>
    </row>
    <row r="74" spans="1:58" x14ac:dyDescent="0.25">
      <c r="A74" s="10"/>
      <c r="B74" s="1" t="s">
        <v>0</v>
      </c>
      <c r="C74" s="81">
        <v>42121</v>
      </c>
      <c r="D74" s="3">
        <v>10</v>
      </c>
      <c r="E74" s="54"/>
      <c r="F74" s="2"/>
      <c r="G74" s="52"/>
      <c r="H74" s="161">
        <v>130</v>
      </c>
      <c r="I74" s="157"/>
      <c r="J74" s="171"/>
      <c r="K74" s="11"/>
      <c r="L74" s="50"/>
      <c r="M74" s="51"/>
      <c r="N74" s="52"/>
      <c r="O74" s="161"/>
      <c r="P74" s="157"/>
      <c r="Q74" s="26"/>
      <c r="R74" s="44"/>
      <c r="S74" s="26"/>
      <c r="T74" s="53"/>
      <c r="U74" s="54"/>
      <c r="V74" s="11"/>
      <c r="W74" s="50"/>
      <c r="X74" s="161"/>
      <c r="Y74" s="157"/>
      <c r="Z74" s="4"/>
      <c r="AA74" s="11"/>
      <c r="AB74" s="11"/>
      <c r="AC74" s="52"/>
      <c r="AD74" s="161"/>
      <c r="AE74" s="157"/>
      <c r="AF74" s="15"/>
      <c r="AG74" s="13">
        <f t="shared" si="0"/>
        <v>0</v>
      </c>
      <c r="AH74" s="87">
        <f t="shared" si="1"/>
        <v>10</v>
      </c>
      <c r="AI74" s="27">
        <f t="shared" si="2"/>
        <v>-10</v>
      </c>
      <c r="AJ74" s="63">
        <f t="shared" si="3"/>
        <v>0</v>
      </c>
      <c r="AK74" s="59"/>
      <c r="AL74" s="51"/>
      <c r="AM74" s="3"/>
      <c r="AN74" s="9">
        <f>$AM$2-AM74</f>
        <v>80.7</v>
      </c>
      <c r="AP74" s="9">
        <f>$AO$2-AO74</f>
        <v>92</v>
      </c>
      <c r="AR74" s="9">
        <f>$AQ$2-AQ74</f>
        <v>95</v>
      </c>
      <c r="AT74" s="9">
        <f>$AS$2-AS74</f>
        <v>98</v>
      </c>
      <c r="AU74"/>
      <c r="AV74" s="9">
        <f>$AU$2-AU74</f>
        <v>58</v>
      </c>
      <c r="AX74" s="9">
        <f>$AW$2-AW74</f>
        <v>58</v>
      </c>
      <c r="AY74"/>
      <c r="AZ74" s="9">
        <f>$AY$2-AY74</f>
        <v>41</v>
      </c>
      <c r="BA74"/>
      <c r="BB74" s="9">
        <f>$BA$2-BA74</f>
        <v>41</v>
      </c>
      <c r="BC74"/>
      <c r="BD74" s="9">
        <f>$BC$2-BC74</f>
        <v>30</v>
      </c>
      <c r="BF74" s="37">
        <f>$BE$2-BE74</f>
        <v>30</v>
      </c>
    </row>
    <row r="75" spans="1:58" x14ac:dyDescent="0.25">
      <c r="A75" s="10"/>
      <c r="B75" s="1" t="s">
        <v>24</v>
      </c>
      <c r="C75" s="81">
        <v>42122</v>
      </c>
      <c r="D75" s="3"/>
      <c r="E75" s="54"/>
      <c r="F75" s="2"/>
      <c r="G75" s="52"/>
      <c r="H75" s="161"/>
      <c r="I75" s="157"/>
      <c r="J75" s="171"/>
      <c r="K75" s="11">
        <v>6</v>
      </c>
      <c r="L75" s="50"/>
      <c r="M75" s="11"/>
      <c r="N75" s="52"/>
      <c r="O75" s="161">
        <v>143</v>
      </c>
      <c r="P75" s="157"/>
      <c r="Q75" s="26"/>
      <c r="R75" s="44"/>
      <c r="S75" s="26"/>
      <c r="T75" s="53"/>
      <c r="U75" s="54"/>
      <c r="V75" s="11"/>
      <c r="W75" s="50"/>
      <c r="X75" s="161"/>
      <c r="Y75" s="157"/>
      <c r="Z75" s="4"/>
      <c r="AA75" s="11">
        <v>9</v>
      </c>
      <c r="AB75" s="51">
        <v>0.16666666666666666</v>
      </c>
      <c r="AC75" s="52"/>
      <c r="AD75" s="161">
        <v>170</v>
      </c>
      <c r="AE75" s="157"/>
      <c r="AF75" s="15"/>
      <c r="AG75" s="13">
        <f t="shared" si="0"/>
        <v>9</v>
      </c>
      <c r="AH75" s="87">
        <f t="shared" si="1"/>
        <v>15</v>
      </c>
      <c r="AI75" s="27">
        <f t="shared" si="2"/>
        <v>-6</v>
      </c>
      <c r="AJ75" s="63">
        <f t="shared" si="3"/>
        <v>0</v>
      </c>
      <c r="AK75" s="59"/>
      <c r="AL75" s="51"/>
      <c r="AM75" s="3"/>
      <c r="AU75"/>
      <c r="AY75"/>
      <c r="BA75"/>
      <c r="BC75"/>
      <c r="BF75" s="37"/>
    </row>
    <row r="76" spans="1:58" x14ac:dyDescent="0.25">
      <c r="A76" s="10">
        <v>18</v>
      </c>
      <c r="B76" s="1" t="s">
        <v>15</v>
      </c>
      <c r="C76" s="81">
        <v>42123</v>
      </c>
      <c r="D76" s="3">
        <v>10</v>
      </c>
      <c r="E76" s="54"/>
      <c r="F76" s="51"/>
      <c r="G76" s="52"/>
      <c r="H76" s="161">
        <v>130</v>
      </c>
      <c r="I76" s="157"/>
      <c r="J76" s="171"/>
      <c r="K76" s="11"/>
      <c r="L76" s="50"/>
      <c r="M76" s="2"/>
      <c r="N76" s="52"/>
      <c r="O76" s="161"/>
      <c r="P76" s="157"/>
      <c r="Q76" s="26"/>
      <c r="R76" s="44"/>
      <c r="S76" s="26"/>
      <c r="T76" s="53"/>
      <c r="U76" s="54"/>
      <c r="V76" s="51"/>
      <c r="W76" s="52"/>
      <c r="X76" s="161"/>
      <c r="Y76" s="157"/>
      <c r="Z76" s="15"/>
      <c r="AA76" s="11"/>
      <c r="AB76" s="11"/>
      <c r="AC76" s="52"/>
      <c r="AD76" s="161"/>
      <c r="AE76" s="157"/>
      <c r="AF76" s="4"/>
      <c r="AG76" s="13">
        <f t="shared" si="0"/>
        <v>0</v>
      </c>
      <c r="AH76" s="87">
        <f t="shared" si="1"/>
        <v>10</v>
      </c>
      <c r="AI76" s="27">
        <f t="shared" si="2"/>
        <v>-10</v>
      </c>
      <c r="AJ76" s="63">
        <f t="shared" si="3"/>
        <v>0</v>
      </c>
      <c r="AK76" s="59"/>
      <c r="AL76" s="51"/>
      <c r="AM76" s="3"/>
      <c r="AN76" s="55"/>
      <c r="AO76" s="11"/>
      <c r="AP76" s="55"/>
      <c r="AQ76" s="11"/>
      <c r="AR76" s="55"/>
      <c r="AS76" s="11"/>
      <c r="AT76" s="55"/>
      <c r="AU76" s="11"/>
      <c r="AV76" s="55"/>
      <c r="AW76" s="11"/>
      <c r="AX76" s="55"/>
      <c r="AY76" s="11"/>
      <c r="AZ76" s="55"/>
      <c r="BA76" s="11"/>
      <c r="BB76" s="55"/>
      <c r="BC76" s="11"/>
      <c r="BD76" s="55"/>
      <c r="BE76" s="11"/>
      <c r="BF76" s="37"/>
    </row>
    <row r="77" spans="1:58" x14ac:dyDescent="0.25">
      <c r="A77" s="10"/>
      <c r="B77" s="1" t="s">
        <v>26</v>
      </c>
      <c r="C77" s="81">
        <v>42124</v>
      </c>
      <c r="D77" s="3">
        <v>12</v>
      </c>
      <c r="E77" s="54"/>
      <c r="F77" s="51">
        <v>0.20833333333333334</v>
      </c>
      <c r="G77" s="52"/>
      <c r="H77" s="161">
        <v>143</v>
      </c>
      <c r="I77" s="157"/>
      <c r="J77" s="171"/>
      <c r="K77" s="11"/>
      <c r="L77" s="50"/>
      <c r="M77" s="2"/>
      <c r="N77" s="52"/>
      <c r="O77" s="161"/>
      <c r="P77" s="157"/>
      <c r="Q77" s="26"/>
      <c r="R77" s="44"/>
      <c r="S77" s="26"/>
      <c r="T77" s="53"/>
      <c r="U77" s="54"/>
      <c r="V77" s="51"/>
      <c r="W77" s="52"/>
      <c r="X77" s="161"/>
      <c r="Y77" s="157"/>
      <c r="Z77" s="15"/>
      <c r="AA77" s="11"/>
      <c r="AB77" s="11"/>
      <c r="AC77" s="52"/>
      <c r="AD77" s="161"/>
      <c r="AE77" s="157"/>
      <c r="AF77" s="4"/>
      <c r="AG77" s="13">
        <f>E77+L77+U77+AA77+R77</f>
        <v>0</v>
      </c>
      <c r="AH77" s="87">
        <f>D77+K77+U77+AA77+R77</f>
        <v>12</v>
      </c>
      <c r="AI77" s="27">
        <f>AG77-AH77</f>
        <v>-12</v>
      </c>
      <c r="AJ77" s="63">
        <f>J77+Q77+Z77+AF77+S77</f>
        <v>0</v>
      </c>
      <c r="AK77" s="59"/>
      <c r="AL77" s="51"/>
      <c r="AM77" s="3"/>
      <c r="AN77" s="55"/>
      <c r="AO77" s="11"/>
      <c r="AP77" s="55"/>
      <c r="AQ77" s="11"/>
      <c r="AR77" s="55"/>
      <c r="AS77" s="11"/>
      <c r="AT77" s="55"/>
      <c r="AU77" s="11"/>
      <c r="AV77" s="55"/>
      <c r="AW77" s="11"/>
      <c r="AX77" s="55"/>
      <c r="AY77" s="11"/>
      <c r="AZ77" s="55"/>
      <c r="BA77" s="11"/>
      <c r="BB77" s="55"/>
      <c r="BC77" s="11"/>
      <c r="BD77" s="55"/>
      <c r="BE77" s="11"/>
      <c r="BF77" s="37"/>
    </row>
    <row r="78" spans="1:58" x14ac:dyDescent="0.25">
      <c r="A78" s="10"/>
      <c r="B78" s="1" t="s">
        <v>29</v>
      </c>
      <c r="C78" s="81">
        <v>42125</v>
      </c>
      <c r="D78" s="3">
        <v>17</v>
      </c>
      <c r="E78" s="54"/>
      <c r="F78" s="51">
        <v>0.20833333333333334</v>
      </c>
      <c r="G78" s="52"/>
      <c r="H78" s="161">
        <v>143</v>
      </c>
      <c r="I78" s="157"/>
      <c r="J78" s="171"/>
      <c r="K78" s="11"/>
      <c r="L78" s="50"/>
      <c r="M78" s="2"/>
      <c r="N78" s="52"/>
      <c r="O78" s="161"/>
      <c r="P78" s="157"/>
      <c r="Q78" s="26"/>
      <c r="R78" s="44"/>
      <c r="S78" s="26"/>
      <c r="T78" s="53"/>
      <c r="U78" s="54"/>
      <c r="V78" s="51"/>
      <c r="W78" s="52"/>
      <c r="X78" s="161"/>
      <c r="Y78" s="157"/>
      <c r="Z78" s="15"/>
      <c r="AA78" s="11">
        <v>4</v>
      </c>
      <c r="AB78" s="51">
        <v>0.1763888888888889</v>
      </c>
      <c r="AC78" s="52"/>
      <c r="AD78" s="161">
        <v>157</v>
      </c>
      <c r="AE78" s="157"/>
      <c r="AF78" s="15"/>
      <c r="AG78" s="13">
        <f t="shared" si="0"/>
        <v>4</v>
      </c>
      <c r="AH78" s="87">
        <f t="shared" si="1"/>
        <v>21</v>
      </c>
      <c r="AI78" s="27">
        <f t="shared" si="2"/>
        <v>-17</v>
      </c>
      <c r="AJ78" s="63">
        <f t="shared" si="3"/>
        <v>0</v>
      </c>
      <c r="AK78" s="59"/>
      <c r="AL78" s="51"/>
      <c r="AM78" s="3"/>
      <c r="AN78" s="55"/>
      <c r="AO78" s="11"/>
      <c r="AP78" s="55"/>
      <c r="AQ78" s="11"/>
      <c r="AR78" s="55"/>
      <c r="AS78" s="11"/>
      <c r="AT78" s="55"/>
      <c r="AU78" s="11"/>
      <c r="AV78" s="55"/>
      <c r="AW78" s="11"/>
      <c r="AX78" s="55"/>
      <c r="AY78" s="11"/>
      <c r="AZ78" s="55"/>
      <c r="BA78" s="11"/>
      <c r="BB78" s="55"/>
      <c r="BC78" s="11"/>
      <c r="BD78" s="55"/>
      <c r="BE78" s="11"/>
      <c r="BF78" s="37"/>
    </row>
    <row r="79" spans="1:58" x14ac:dyDescent="0.25">
      <c r="A79" s="56"/>
      <c r="B79" s="17" t="s">
        <v>27</v>
      </c>
      <c r="C79" s="85">
        <v>42127</v>
      </c>
      <c r="D79" s="19">
        <v>27</v>
      </c>
      <c r="E79" s="42"/>
      <c r="F79" s="21">
        <v>0.20833333333333334</v>
      </c>
      <c r="G79" s="22"/>
      <c r="H79" s="160">
        <v>143</v>
      </c>
      <c r="I79" s="156"/>
      <c r="J79" s="172"/>
      <c r="K79" s="18"/>
      <c r="L79" s="20"/>
      <c r="M79" s="18"/>
      <c r="N79" s="20"/>
      <c r="O79" s="160"/>
      <c r="P79" s="156"/>
      <c r="Q79" s="18"/>
      <c r="R79" s="45"/>
      <c r="S79" s="84"/>
      <c r="T79" s="31"/>
      <c r="U79" s="42"/>
      <c r="V79" s="21"/>
      <c r="W79" s="22"/>
      <c r="X79" s="160"/>
      <c r="Y79" s="156"/>
      <c r="Z79" s="24"/>
      <c r="AA79" s="18">
        <v>5</v>
      </c>
      <c r="AB79" s="21">
        <v>0.1763888888888889</v>
      </c>
      <c r="AC79" s="22"/>
      <c r="AD79" s="160">
        <v>157</v>
      </c>
      <c r="AE79" s="156"/>
      <c r="AF79" s="23"/>
      <c r="AG79" s="20">
        <f t="shared" ref="AG79:AG95" si="4">E79+L79+U79+AA79+R79</f>
        <v>5</v>
      </c>
      <c r="AH79" s="88">
        <f t="shared" ref="AH79:AH96" si="5">D79+K79+U79+AA79+R79</f>
        <v>32</v>
      </c>
      <c r="AI79" s="34">
        <f t="shared" si="2"/>
        <v>-27</v>
      </c>
      <c r="AJ79" s="58">
        <f t="shared" ref="AJ79:AJ96" si="6">J79+Q79+Z79+AF79+S79</f>
        <v>0</v>
      </c>
      <c r="AK79" s="57">
        <f>SUM(AG74:AG79)</f>
        <v>18</v>
      </c>
      <c r="AL79" s="21">
        <f>SUM(AJ74:AJ79)</f>
        <v>0</v>
      </c>
      <c r="AM79" s="19"/>
      <c r="AN79" s="36"/>
      <c r="AO79" s="18"/>
      <c r="AP79" s="36"/>
      <c r="AQ79" s="18"/>
      <c r="AR79" s="36"/>
      <c r="AS79" s="18"/>
      <c r="AT79" s="36"/>
      <c r="AU79" s="18"/>
      <c r="AV79" s="36"/>
      <c r="AW79" s="18"/>
      <c r="AX79" s="36"/>
      <c r="AY79" s="18"/>
      <c r="AZ79" s="36"/>
      <c r="BA79" s="18"/>
      <c r="BB79" s="36"/>
      <c r="BC79" s="18"/>
      <c r="BD79" s="36"/>
      <c r="BE79" s="18"/>
      <c r="BF79" s="38"/>
    </row>
    <row r="80" spans="1:58" x14ac:dyDescent="0.25">
      <c r="A80" s="10"/>
      <c r="B80" s="1" t="s">
        <v>0</v>
      </c>
      <c r="C80" s="81">
        <v>42128</v>
      </c>
      <c r="D80" s="3">
        <v>10</v>
      </c>
      <c r="E80" s="54"/>
      <c r="F80" s="2"/>
      <c r="G80" s="52"/>
      <c r="H80" s="161">
        <v>130</v>
      </c>
      <c r="I80" s="157"/>
      <c r="J80" s="171"/>
      <c r="K80" s="11"/>
      <c r="L80" s="50"/>
      <c r="M80" s="11"/>
      <c r="N80" s="50"/>
      <c r="O80" s="161"/>
      <c r="P80" s="157"/>
      <c r="Q80" s="11"/>
      <c r="R80" s="44"/>
      <c r="S80" s="26"/>
      <c r="T80" s="53"/>
      <c r="U80" s="54"/>
      <c r="V80" s="51"/>
      <c r="W80" s="52"/>
      <c r="X80" s="161"/>
      <c r="Y80" s="157"/>
      <c r="Z80" s="15"/>
      <c r="AA80" s="11"/>
      <c r="AB80" s="11"/>
      <c r="AC80" s="50"/>
      <c r="AD80" s="161"/>
      <c r="AE80" s="157"/>
      <c r="AF80" s="4"/>
      <c r="AG80" s="188">
        <f t="shared" si="4"/>
        <v>0</v>
      </c>
      <c r="AH80" s="87">
        <f t="shared" si="5"/>
        <v>10</v>
      </c>
      <c r="AI80" s="27">
        <f t="shared" si="2"/>
        <v>-10</v>
      </c>
      <c r="AJ80" s="63">
        <f t="shared" si="6"/>
        <v>0</v>
      </c>
      <c r="AK80" s="59"/>
      <c r="AL80" s="51"/>
      <c r="AM80" s="3"/>
      <c r="AN80" s="9">
        <f>$AM$2-AM80</f>
        <v>80.7</v>
      </c>
      <c r="AP80" s="9">
        <f>$AO$2-AO80</f>
        <v>92</v>
      </c>
      <c r="AR80" s="9">
        <f>$AQ$2-AQ80</f>
        <v>95</v>
      </c>
      <c r="AT80" s="9">
        <f>$AS$2-AS80</f>
        <v>98</v>
      </c>
      <c r="AU80"/>
      <c r="AV80" s="9">
        <f>$AU$2-AU80</f>
        <v>58</v>
      </c>
      <c r="AX80" s="9">
        <f>$AW$2-AW80</f>
        <v>58</v>
      </c>
      <c r="AY80"/>
      <c r="AZ80" s="9">
        <f>$AY$2-AY80</f>
        <v>41</v>
      </c>
      <c r="BA80"/>
      <c r="BB80" s="9">
        <f>$BA$2-BA80</f>
        <v>41</v>
      </c>
      <c r="BC80"/>
      <c r="BD80" s="9">
        <f>$BC$2-BC80</f>
        <v>30</v>
      </c>
      <c r="BF80" s="37">
        <f>$BE$2-BE80</f>
        <v>30</v>
      </c>
    </row>
    <row r="81" spans="1:58" x14ac:dyDescent="0.25">
      <c r="A81" s="10"/>
      <c r="B81" s="1" t="s">
        <v>24</v>
      </c>
      <c r="C81" s="81">
        <v>42129</v>
      </c>
      <c r="D81" s="3"/>
      <c r="E81" s="54"/>
      <c r="F81" s="2"/>
      <c r="G81" s="52"/>
      <c r="H81" s="161"/>
      <c r="I81" s="157"/>
      <c r="J81" s="171"/>
      <c r="K81" s="11">
        <v>4</v>
      </c>
      <c r="L81" s="50"/>
      <c r="M81" s="11"/>
      <c r="N81" s="50"/>
      <c r="O81" s="161">
        <v>143</v>
      </c>
      <c r="P81" s="157"/>
      <c r="Q81" s="26"/>
      <c r="R81" s="44"/>
      <c r="S81" s="26"/>
      <c r="T81" s="53"/>
      <c r="U81" s="54"/>
      <c r="V81" s="51"/>
      <c r="W81" s="52"/>
      <c r="X81" s="161"/>
      <c r="Y81" s="157"/>
      <c r="Z81" s="15"/>
      <c r="AA81" s="11">
        <v>9</v>
      </c>
      <c r="AB81" s="51">
        <v>0.1763888888888889</v>
      </c>
      <c r="AC81" s="52"/>
      <c r="AD81" s="161">
        <v>157</v>
      </c>
      <c r="AE81" s="157"/>
      <c r="AF81" s="15"/>
      <c r="AG81" s="50">
        <f t="shared" si="4"/>
        <v>9</v>
      </c>
      <c r="AH81" s="87">
        <f t="shared" si="5"/>
        <v>13</v>
      </c>
      <c r="AI81" s="27">
        <f t="shared" si="2"/>
        <v>-4</v>
      </c>
      <c r="AJ81" s="63">
        <f t="shared" si="6"/>
        <v>0</v>
      </c>
      <c r="AK81" s="59"/>
      <c r="AL81" s="51"/>
      <c r="AM81" s="3"/>
      <c r="AU81"/>
      <c r="AY81"/>
      <c r="BA81"/>
      <c r="BC81"/>
      <c r="BF81" s="37"/>
    </row>
    <row r="82" spans="1:58" x14ac:dyDescent="0.25">
      <c r="A82" s="10">
        <v>19</v>
      </c>
      <c r="B82" s="1" t="s">
        <v>15</v>
      </c>
      <c r="C82" s="81">
        <v>42130</v>
      </c>
      <c r="D82" s="3">
        <v>10</v>
      </c>
      <c r="E82" s="54"/>
      <c r="F82" s="51"/>
      <c r="G82" s="52"/>
      <c r="H82" s="161">
        <v>130</v>
      </c>
      <c r="I82" s="157"/>
      <c r="J82" s="171"/>
      <c r="K82" s="11"/>
      <c r="L82" s="50"/>
      <c r="M82" s="2"/>
      <c r="N82" s="52"/>
      <c r="O82" s="161"/>
      <c r="P82" s="157"/>
      <c r="Q82" s="26"/>
      <c r="R82" s="44"/>
      <c r="S82" s="26"/>
      <c r="T82" s="53"/>
      <c r="U82" s="54"/>
      <c r="V82" s="51"/>
      <c r="W82" s="52"/>
      <c r="X82" s="161"/>
      <c r="Y82" s="157"/>
      <c r="Z82" s="15"/>
      <c r="AA82" s="11"/>
      <c r="AB82" s="11"/>
      <c r="AC82" s="50"/>
      <c r="AD82" s="161"/>
      <c r="AE82" s="157"/>
      <c r="AF82" s="4"/>
      <c r="AG82" s="50">
        <f t="shared" si="4"/>
        <v>0</v>
      </c>
      <c r="AH82" s="87">
        <f t="shared" si="5"/>
        <v>10</v>
      </c>
      <c r="AI82" s="27">
        <f t="shared" si="2"/>
        <v>-10</v>
      </c>
      <c r="AJ82" s="63">
        <f t="shared" si="6"/>
        <v>0</v>
      </c>
      <c r="AK82" s="59"/>
      <c r="AL82" s="51"/>
      <c r="AM82" s="3"/>
      <c r="AN82" s="55"/>
      <c r="AO82" s="11"/>
      <c r="AP82" s="55"/>
      <c r="AQ82" s="11"/>
      <c r="AR82" s="55"/>
      <c r="AS82" s="11"/>
      <c r="AT82" s="55"/>
      <c r="AU82" s="11"/>
      <c r="AV82" s="55"/>
      <c r="AW82" s="11"/>
      <c r="AX82" s="55"/>
      <c r="AY82" s="11"/>
      <c r="AZ82" s="55"/>
      <c r="BA82" s="11"/>
      <c r="BB82" s="55"/>
      <c r="BC82" s="11"/>
      <c r="BD82" s="55"/>
      <c r="BE82" s="11"/>
      <c r="BF82" s="37"/>
    </row>
    <row r="83" spans="1:58" x14ac:dyDescent="0.25">
      <c r="A83" s="10"/>
      <c r="B83" s="1" t="s">
        <v>26</v>
      </c>
      <c r="C83" s="81">
        <v>42131</v>
      </c>
      <c r="D83" s="3">
        <v>10</v>
      </c>
      <c r="E83" s="54"/>
      <c r="F83" s="51">
        <v>0.20833333333333334</v>
      </c>
      <c r="G83" s="52"/>
      <c r="H83" s="161">
        <v>143</v>
      </c>
      <c r="I83" s="157"/>
      <c r="J83" s="171"/>
      <c r="K83" s="11"/>
      <c r="L83" s="50"/>
      <c r="M83" s="2"/>
      <c r="N83" s="52"/>
      <c r="O83" s="161"/>
      <c r="P83" s="157"/>
      <c r="Q83" s="26"/>
      <c r="R83" s="44"/>
      <c r="S83" s="26"/>
      <c r="T83" s="53"/>
      <c r="U83" s="54"/>
      <c r="V83" s="51"/>
      <c r="W83" s="52"/>
      <c r="X83" s="161"/>
      <c r="Y83" s="157"/>
      <c r="Z83" s="15"/>
      <c r="AA83" s="11"/>
      <c r="AB83" s="11"/>
      <c r="AC83" s="50"/>
      <c r="AD83" s="161"/>
      <c r="AE83" s="157"/>
      <c r="AF83" s="4"/>
      <c r="AG83" s="13">
        <f t="shared" si="4"/>
        <v>0</v>
      </c>
      <c r="AH83" s="87">
        <f t="shared" si="5"/>
        <v>10</v>
      </c>
      <c r="AI83" s="27">
        <f>AG83-AH83</f>
        <v>-10</v>
      </c>
      <c r="AJ83" s="63">
        <f t="shared" si="6"/>
        <v>0</v>
      </c>
      <c r="AK83" s="59"/>
      <c r="AL83" s="51"/>
      <c r="AM83" s="3"/>
      <c r="AN83" s="55"/>
      <c r="AO83" s="11"/>
      <c r="AP83" s="55"/>
      <c r="AQ83" s="11"/>
      <c r="AR83" s="55"/>
      <c r="AS83" s="11"/>
      <c r="AT83" s="55"/>
      <c r="AU83" s="11"/>
      <c r="AV83" s="55"/>
      <c r="AW83" s="11"/>
      <c r="AX83" s="55"/>
      <c r="AY83" s="11"/>
      <c r="AZ83" s="55"/>
      <c r="BA83" s="11"/>
      <c r="BB83" s="55"/>
      <c r="BC83" s="11"/>
      <c r="BD83" s="55"/>
      <c r="BE83" s="11"/>
      <c r="BF83" s="37"/>
    </row>
    <row r="84" spans="1:58" x14ac:dyDescent="0.25">
      <c r="A84" s="10"/>
      <c r="B84" s="1" t="s">
        <v>29</v>
      </c>
      <c r="C84" s="81">
        <v>42132</v>
      </c>
      <c r="D84" s="3">
        <v>10</v>
      </c>
      <c r="E84" s="54"/>
      <c r="F84" s="51">
        <v>0.20833333333333334</v>
      </c>
      <c r="G84" s="52"/>
      <c r="H84" s="161">
        <v>143</v>
      </c>
      <c r="I84" s="157"/>
      <c r="J84" s="171"/>
      <c r="K84" s="11"/>
      <c r="L84" s="50"/>
      <c r="M84" s="2"/>
      <c r="N84" s="52"/>
      <c r="O84" s="161"/>
      <c r="P84" s="157"/>
      <c r="Q84" s="26"/>
      <c r="R84" s="44"/>
      <c r="S84" s="26"/>
      <c r="T84" s="53"/>
      <c r="U84" s="54"/>
      <c r="V84" s="51"/>
      <c r="W84" s="52"/>
      <c r="X84" s="161"/>
      <c r="Y84" s="157"/>
      <c r="Z84" s="15"/>
      <c r="AA84" s="11">
        <v>6</v>
      </c>
      <c r="AB84" s="51">
        <v>0.1763888888888889</v>
      </c>
      <c r="AC84" s="52"/>
      <c r="AD84" s="161">
        <v>157</v>
      </c>
      <c r="AE84" s="157"/>
      <c r="AF84" s="15"/>
      <c r="AG84" s="50">
        <f t="shared" si="4"/>
        <v>6</v>
      </c>
      <c r="AH84" s="87">
        <f t="shared" si="5"/>
        <v>16</v>
      </c>
      <c r="AI84" s="27">
        <f t="shared" si="2"/>
        <v>-10</v>
      </c>
      <c r="AJ84" s="63">
        <f t="shared" si="6"/>
        <v>0</v>
      </c>
      <c r="AK84" s="59"/>
      <c r="AL84" s="51"/>
      <c r="AM84" s="3"/>
      <c r="AN84" s="55"/>
      <c r="AO84" s="11"/>
      <c r="AP84" s="55"/>
      <c r="AQ84" s="11"/>
      <c r="AR84" s="55"/>
      <c r="AS84" s="11"/>
      <c r="AT84" s="55"/>
      <c r="AU84" s="11"/>
      <c r="AV84" s="55"/>
      <c r="AW84" s="11"/>
      <c r="AX84" s="55"/>
      <c r="AY84" s="11"/>
      <c r="AZ84" s="55"/>
      <c r="BA84" s="11"/>
      <c r="BB84" s="55"/>
      <c r="BC84" s="11"/>
      <c r="BD84" s="55"/>
      <c r="BE84" s="11"/>
      <c r="BF84" s="37"/>
    </row>
    <row r="85" spans="1:58" x14ac:dyDescent="0.25">
      <c r="A85" s="56"/>
      <c r="B85" s="17" t="s">
        <v>27</v>
      </c>
      <c r="C85" s="85">
        <v>42134</v>
      </c>
      <c r="D85" s="19">
        <v>16</v>
      </c>
      <c r="E85" s="42"/>
      <c r="F85" s="21">
        <v>0.20833333333333334</v>
      </c>
      <c r="G85" s="22"/>
      <c r="H85" s="160">
        <v>143</v>
      </c>
      <c r="I85" s="156"/>
      <c r="J85" s="172"/>
      <c r="K85" s="18"/>
      <c r="L85" s="20"/>
      <c r="M85" s="18"/>
      <c r="N85" s="20"/>
      <c r="O85" s="160"/>
      <c r="P85" s="156"/>
      <c r="Q85" s="18"/>
      <c r="R85" s="45"/>
      <c r="S85" s="84"/>
      <c r="T85" s="31"/>
      <c r="U85" s="42"/>
      <c r="V85" s="18"/>
      <c r="W85" s="20"/>
      <c r="X85" s="160"/>
      <c r="Y85" s="156"/>
      <c r="Z85" s="24"/>
      <c r="AA85" s="18">
        <v>8</v>
      </c>
      <c r="AB85" s="21">
        <v>0.1763888888888889</v>
      </c>
      <c r="AC85" s="22"/>
      <c r="AD85" s="160">
        <v>157</v>
      </c>
      <c r="AE85" s="156"/>
      <c r="AF85" s="23"/>
      <c r="AG85" s="20">
        <f t="shared" si="4"/>
        <v>8</v>
      </c>
      <c r="AH85" s="88">
        <f t="shared" si="5"/>
        <v>24</v>
      </c>
      <c r="AI85" s="34">
        <f t="shared" si="2"/>
        <v>-16</v>
      </c>
      <c r="AJ85" s="58">
        <f t="shared" si="6"/>
        <v>0</v>
      </c>
      <c r="AK85" s="57">
        <f>SUM(AG80:AG85)</f>
        <v>23</v>
      </c>
      <c r="AL85" s="21">
        <f>SUM(AJ80:AJ85)</f>
        <v>0</v>
      </c>
      <c r="AM85" s="19"/>
      <c r="AN85" s="36"/>
      <c r="AO85" s="18"/>
      <c r="AP85" s="36"/>
      <c r="AQ85" s="18"/>
      <c r="AR85" s="36"/>
      <c r="AS85" s="18"/>
      <c r="AT85" s="36"/>
      <c r="AU85" s="18"/>
      <c r="AV85" s="36"/>
      <c r="AW85" s="18"/>
      <c r="AX85" s="36"/>
      <c r="AY85" s="18"/>
      <c r="AZ85" s="36"/>
      <c r="BA85" s="18"/>
      <c r="BB85" s="36"/>
      <c r="BC85" s="18"/>
      <c r="BD85" s="36"/>
      <c r="BE85" s="18"/>
      <c r="BF85" s="38"/>
    </row>
    <row r="86" spans="1:58" x14ac:dyDescent="0.25">
      <c r="A86" s="10"/>
      <c r="B86" s="1" t="s">
        <v>0</v>
      </c>
      <c r="C86" s="81">
        <v>42135</v>
      </c>
      <c r="D86" s="3">
        <v>10</v>
      </c>
      <c r="E86" s="54"/>
      <c r="F86" s="51"/>
      <c r="G86" s="52"/>
      <c r="H86" s="161">
        <v>143</v>
      </c>
      <c r="I86" s="157"/>
      <c r="J86" s="171"/>
      <c r="K86" s="11"/>
      <c r="L86" s="50"/>
      <c r="M86" s="11"/>
      <c r="N86" s="50"/>
      <c r="O86" s="161"/>
      <c r="P86" s="157"/>
      <c r="Q86" s="11"/>
      <c r="R86" s="44"/>
      <c r="S86" s="26"/>
      <c r="T86" s="53"/>
      <c r="U86" s="54"/>
      <c r="V86" s="11"/>
      <c r="W86" s="50"/>
      <c r="X86" s="161"/>
      <c r="Y86" s="157"/>
      <c r="Z86" s="4"/>
      <c r="AA86" s="11"/>
      <c r="AB86" s="11"/>
      <c r="AC86" s="50"/>
      <c r="AD86" s="161"/>
      <c r="AE86" s="157"/>
      <c r="AF86" s="4"/>
      <c r="AG86" s="188">
        <f t="shared" si="4"/>
        <v>0</v>
      </c>
      <c r="AH86" s="87">
        <f t="shared" si="5"/>
        <v>10</v>
      </c>
      <c r="AI86" s="27">
        <f t="shared" si="2"/>
        <v>-10</v>
      </c>
      <c r="AJ86" s="63">
        <f t="shared" si="6"/>
        <v>0</v>
      </c>
      <c r="AK86" s="59"/>
      <c r="AL86" s="51"/>
      <c r="AM86" s="3"/>
      <c r="AN86" s="9">
        <f>$AM$2-AM86</f>
        <v>80.7</v>
      </c>
      <c r="AP86" s="9">
        <f>$AO$2-AO86</f>
        <v>92</v>
      </c>
      <c r="AR86" s="9">
        <f>$AQ$2-AQ86</f>
        <v>95</v>
      </c>
      <c r="AT86" s="9">
        <f>$AS$2-AS86</f>
        <v>98</v>
      </c>
      <c r="AU86"/>
      <c r="AV86" s="9">
        <f>$AU$2-AU86</f>
        <v>58</v>
      </c>
      <c r="AX86" s="9">
        <f>$AW$2-AW86</f>
        <v>58</v>
      </c>
      <c r="AY86"/>
      <c r="AZ86" s="9">
        <f>$AY$2-AY86</f>
        <v>41</v>
      </c>
      <c r="BA86"/>
      <c r="BB86" s="9">
        <f>$BA$2-BA86</f>
        <v>41</v>
      </c>
      <c r="BC86"/>
      <c r="BD86" s="9">
        <f>$BC$2-BC86</f>
        <v>30</v>
      </c>
      <c r="BF86" s="37">
        <f>$BE$2-BE86</f>
        <v>30</v>
      </c>
    </row>
    <row r="87" spans="1:58" x14ac:dyDescent="0.25">
      <c r="A87" s="10"/>
      <c r="B87" s="1" t="s">
        <v>24</v>
      </c>
      <c r="C87" s="81">
        <v>42136</v>
      </c>
      <c r="D87" s="3"/>
      <c r="E87" s="54"/>
      <c r="F87" s="51"/>
      <c r="G87" s="52"/>
      <c r="H87" s="161"/>
      <c r="I87" s="157"/>
      <c r="J87" s="171"/>
      <c r="K87" s="11">
        <v>4</v>
      </c>
      <c r="L87" s="50"/>
      <c r="M87" s="11"/>
      <c r="N87" s="52"/>
      <c r="O87" s="161">
        <v>143</v>
      </c>
      <c r="P87" s="157"/>
      <c r="Q87" s="26"/>
      <c r="R87" s="44"/>
      <c r="S87" s="26"/>
      <c r="T87" s="53"/>
      <c r="U87" s="54"/>
      <c r="V87" s="51"/>
      <c r="W87" s="52"/>
      <c r="X87" s="161"/>
      <c r="Y87" s="157"/>
      <c r="Z87" s="15"/>
      <c r="AA87" s="11">
        <v>7</v>
      </c>
      <c r="AB87" s="51">
        <v>0.1763888888888889</v>
      </c>
      <c r="AC87" s="52"/>
      <c r="AD87" s="161">
        <v>157</v>
      </c>
      <c r="AE87" s="157"/>
      <c r="AF87" s="15"/>
      <c r="AG87" s="50">
        <f t="shared" si="4"/>
        <v>7</v>
      </c>
      <c r="AH87" s="87">
        <f t="shared" si="5"/>
        <v>11</v>
      </c>
      <c r="AI87" s="27">
        <f t="shared" si="2"/>
        <v>-4</v>
      </c>
      <c r="AJ87" s="63">
        <f t="shared" si="6"/>
        <v>0</v>
      </c>
      <c r="AK87" s="59"/>
      <c r="AL87" s="51"/>
      <c r="AM87" s="3"/>
      <c r="AN87" s="55"/>
      <c r="AO87" s="11"/>
      <c r="AP87" s="55"/>
      <c r="AQ87" s="11"/>
      <c r="AR87" s="55"/>
      <c r="AS87" s="11"/>
      <c r="AT87" s="55"/>
      <c r="AU87" s="11"/>
      <c r="AV87" s="55"/>
      <c r="AW87" s="11"/>
      <c r="AX87" s="55"/>
      <c r="AY87" s="11"/>
      <c r="AZ87" s="55"/>
      <c r="BA87" s="11"/>
      <c r="BB87" s="55"/>
      <c r="BC87" s="11"/>
      <c r="BD87" s="55"/>
      <c r="BE87" s="11"/>
      <c r="BF87" s="37"/>
    </row>
    <row r="88" spans="1:58" x14ac:dyDescent="0.25">
      <c r="A88" s="10">
        <v>20</v>
      </c>
      <c r="B88" s="1" t="s">
        <v>15</v>
      </c>
      <c r="C88" s="81">
        <v>42137</v>
      </c>
      <c r="D88" s="3">
        <v>10</v>
      </c>
      <c r="E88" s="54"/>
      <c r="F88" s="51"/>
      <c r="G88" s="52"/>
      <c r="H88" s="161">
        <v>130</v>
      </c>
      <c r="I88" s="157"/>
      <c r="J88" s="171"/>
      <c r="K88" s="11"/>
      <c r="L88" s="50"/>
      <c r="M88" s="11"/>
      <c r="N88" s="50"/>
      <c r="O88" s="161"/>
      <c r="P88" s="157"/>
      <c r="Q88" s="11"/>
      <c r="R88" s="44"/>
      <c r="S88" s="26"/>
      <c r="T88" s="53"/>
      <c r="U88" s="54"/>
      <c r="V88" s="11"/>
      <c r="W88" s="50"/>
      <c r="X88" s="161"/>
      <c r="Y88" s="157"/>
      <c r="Z88" s="4"/>
      <c r="AA88" s="27"/>
      <c r="AB88" s="51"/>
      <c r="AC88" s="52"/>
      <c r="AD88" s="161"/>
      <c r="AE88" s="157"/>
      <c r="AF88" s="15"/>
      <c r="AG88" s="50">
        <f t="shared" si="4"/>
        <v>0</v>
      </c>
      <c r="AH88" s="87">
        <f t="shared" si="5"/>
        <v>10</v>
      </c>
      <c r="AI88" s="27">
        <f t="shared" si="2"/>
        <v>-10</v>
      </c>
      <c r="AJ88" s="63">
        <f t="shared" si="6"/>
        <v>0</v>
      </c>
      <c r="AK88" s="59"/>
      <c r="AL88" s="51"/>
      <c r="AM88" s="3"/>
      <c r="AN88" s="55"/>
      <c r="AO88" s="11"/>
      <c r="AP88" s="55"/>
      <c r="AQ88" s="11"/>
      <c r="AR88" s="55"/>
      <c r="AS88" s="11"/>
      <c r="AT88" s="55"/>
      <c r="AU88" s="11"/>
      <c r="AV88" s="55"/>
      <c r="AW88" s="11"/>
      <c r="AX88" s="55"/>
      <c r="AY88" s="11"/>
      <c r="AZ88" s="55"/>
      <c r="BA88" s="11"/>
      <c r="BB88" s="55"/>
      <c r="BC88" s="11"/>
      <c r="BD88" s="55"/>
      <c r="BE88" s="11"/>
      <c r="BF88" s="37"/>
    </row>
    <row r="89" spans="1:58" x14ac:dyDescent="0.25">
      <c r="A89" s="10"/>
      <c r="B89" s="1" t="s">
        <v>26</v>
      </c>
      <c r="C89" s="81">
        <v>42138</v>
      </c>
      <c r="D89" s="3">
        <v>6</v>
      </c>
      <c r="E89" s="54"/>
      <c r="F89" s="51">
        <v>0.20833333333333334</v>
      </c>
      <c r="G89" s="52"/>
      <c r="H89" s="161">
        <v>143</v>
      </c>
      <c r="I89" s="157"/>
      <c r="J89" s="171"/>
      <c r="K89" s="11"/>
      <c r="L89" s="50"/>
      <c r="M89" s="11"/>
      <c r="N89" s="50"/>
      <c r="O89" s="161"/>
      <c r="P89" s="157"/>
      <c r="Q89" s="11"/>
      <c r="R89" s="44"/>
      <c r="S89" s="26"/>
      <c r="T89" s="53"/>
      <c r="U89" s="54"/>
      <c r="V89" s="11"/>
      <c r="W89" s="50"/>
      <c r="X89" s="161"/>
      <c r="Y89" s="157"/>
      <c r="Z89" s="4"/>
      <c r="AA89" s="11">
        <v>4</v>
      </c>
      <c r="AB89" s="51">
        <v>0.1763888888888889</v>
      </c>
      <c r="AC89" s="52"/>
      <c r="AD89" s="161">
        <v>157</v>
      </c>
      <c r="AE89" s="157"/>
      <c r="AF89" s="15"/>
      <c r="AG89" s="13">
        <f t="shared" si="4"/>
        <v>4</v>
      </c>
      <c r="AH89" s="87">
        <f t="shared" si="5"/>
        <v>10</v>
      </c>
      <c r="AI89" s="27">
        <f>AG89-AH89</f>
        <v>-6</v>
      </c>
      <c r="AJ89" s="63">
        <f t="shared" si="6"/>
        <v>0</v>
      </c>
      <c r="AK89" s="59"/>
      <c r="AL89" s="51"/>
      <c r="AM89" s="3"/>
      <c r="AN89" s="55"/>
      <c r="AO89" s="11"/>
      <c r="AP89" s="55"/>
      <c r="AQ89" s="11"/>
      <c r="AR89" s="55"/>
      <c r="AS89" s="11"/>
      <c r="AT89" s="55"/>
      <c r="AU89" s="11"/>
      <c r="AV89" s="55"/>
      <c r="AW89" s="11"/>
      <c r="AX89" s="55"/>
      <c r="AY89" s="11"/>
      <c r="AZ89" s="55"/>
      <c r="BA89" s="11"/>
      <c r="BB89" s="55"/>
      <c r="BC89" s="11"/>
      <c r="BD89" s="55"/>
      <c r="BE89" s="11"/>
      <c r="BF89" s="37"/>
    </row>
    <row r="90" spans="1:58" x14ac:dyDescent="0.25">
      <c r="A90" s="10"/>
      <c r="B90" s="1" t="s">
        <v>29</v>
      </c>
      <c r="C90" s="81">
        <v>42139</v>
      </c>
      <c r="D90" s="3"/>
      <c r="E90" s="54"/>
      <c r="F90" s="51"/>
      <c r="G90" s="52"/>
      <c r="H90" s="161"/>
      <c r="I90" s="157"/>
      <c r="J90" s="171"/>
      <c r="K90" s="11">
        <v>4</v>
      </c>
      <c r="L90" s="50"/>
      <c r="M90" s="11"/>
      <c r="N90" s="52"/>
      <c r="O90" s="161">
        <v>143</v>
      </c>
      <c r="P90" s="157"/>
      <c r="Q90" s="26"/>
      <c r="R90" s="44"/>
      <c r="S90" s="26">
        <v>7.8703703703703713E-3</v>
      </c>
      <c r="T90" s="53" t="s">
        <v>166</v>
      </c>
      <c r="U90" s="54">
        <v>4</v>
      </c>
      <c r="V90" s="51">
        <v>0.15486111111111112</v>
      </c>
      <c r="W90" s="52"/>
      <c r="X90" s="161">
        <v>184</v>
      </c>
      <c r="Y90" s="157"/>
      <c r="Z90" s="15"/>
      <c r="AA90" s="11"/>
      <c r="AB90" s="11"/>
      <c r="AC90" s="50"/>
      <c r="AD90" s="161"/>
      <c r="AE90" s="157"/>
      <c r="AF90" s="4"/>
      <c r="AG90" s="50">
        <f t="shared" si="4"/>
        <v>4</v>
      </c>
      <c r="AH90" s="87">
        <f t="shared" si="5"/>
        <v>8</v>
      </c>
      <c r="AI90" s="27">
        <f t="shared" si="2"/>
        <v>-4</v>
      </c>
      <c r="AJ90" s="63">
        <f t="shared" si="6"/>
        <v>7.8703703703703713E-3</v>
      </c>
      <c r="AK90" s="59"/>
      <c r="AL90" s="51"/>
      <c r="AM90" s="3"/>
      <c r="AN90" s="55"/>
      <c r="AO90" s="11"/>
      <c r="AP90" s="55"/>
      <c r="AQ90" s="11"/>
      <c r="AR90" s="55"/>
      <c r="AS90" s="11"/>
      <c r="AT90" s="55"/>
      <c r="AU90" s="11"/>
      <c r="AV90" s="55"/>
      <c r="AW90" s="11"/>
      <c r="AX90" s="55"/>
      <c r="AY90" s="11"/>
      <c r="AZ90" s="55"/>
      <c r="BA90" s="11"/>
      <c r="BB90" s="55"/>
      <c r="BC90" s="11"/>
      <c r="BD90" s="55"/>
      <c r="BE90" s="11"/>
      <c r="BF90" s="37"/>
    </row>
    <row r="91" spans="1:58" x14ac:dyDescent="0.25">
      <c r="A91" s="56"/>
      <c r="B91" s="17" t="s">
        <v>27</v>
      </c>
      <c r="C91" s="85">
        <v>42141</v>
      </c>
      <c r="D91" s="19">
        <v>12</v>
      </c>
      <c r="E91" s="42"/>
      <c r="F91" s="21">
        <v>0.20833333333333334</v>
      </c>
      <c r="G91" s="22"/>
      <c r="H91" s="160">
        <v>143</v>
      </c>
      <c r="I91" s="156"/>
      <c r="J91" s="172"/>
      <c r="K91" s="18"/>
      <c r="L91" s="20"/>
      <c r="M91" s="18"/>
      <c r="N91" s="20"/>
      <c r="O91" s="160"/>
      <c r="P91" s="156"/>
      <c r="Q91" s="18"/>
      <c r="R91" s="45"/>
      <c r="S91" s="84"/>
      <c r="T91" s="31"/>
      <c r="U91" s="42"/>
      <c r="V91" s="18"/>
      <c r="W91" s="20"/>
      <c r="X91" s="160"/>
      <c r="Y91" s="156"/>
      <c r="Z91" s="24"/>
      <c r="AA91" s="18">
        <v>6</v>
      </c>
      <c r="AB91" s="21">
        <v>0.1763888888888889</v>
      </c>
      <c r="AC91" s="20"/>
      <c r="AD91" s="160">
        <v>157</v>
      </c>
      <c r="AE91" s="156"/>
      <c r="AF91" s="24"/>
      <c r="AG91" s="20">
        <f t="shared" si="4"/>
        <v>6</v>
      </c>
      <c r="AH91" s="88">
        <f t="shared" si="5"/>
        <v>18</v>
      </c>
      <c r="AI91" s="34">
        <f t="shared" si="2"/>
        <v>-12</v>
      </c>
      <c r="AJ91" s="58">
        <f t="shared" si="6"/>
        <v>0</v>
      </c>
      <c r="AK91" s="57">
        <f>SUM(AG86:AG91)</f>
        <v>21</v>
      </c>
      <c r="AL91" s="21">
        <f>SUM(AJ86:AJ91)</f>
        <v>7.8703703703703713E-3</v>
      </c>
      <c r="AM91" s="19"/>
      <c r="AN91" s="36"/>
      <c r="AO91" s="18"/>
      <c r="AP91" s="36"/>
      <c r="AQ91" s="18"/>
      <c r="AR91" s="36"/>
      <c r="AS91" s="18"/>
      <c r="AT91" s="36"/>
      <c r="AU91" s="18"/>
      <c r="AV91" s="36"/>
      <c r="AW91" s="18"/>
      <c r="AX91" s="36"/>
      <c r="AY91" s="18"/>
      <c r="AZ91" s="36"/>
      <c r="BA91" s="18"/>
      <c r="BB91" s="36"/>
      <c r="BC91" s="18"/>
      <c r="BD91" s="36"/>
      <c r="BE91" s="18"/>
      <c r="BF91" s="38"/>
    </row>
    <row r="92" spans="1:58" x14ac:dyDescent="0.25">
      <c r="A92" s="10"/>
      <c r="B92" s="1" t="s">
        <v>0</v>
      </c>
      <c r="C92" s="81">
        <v>42142</v>
      </c>
      <c r="D92" s="3">
        <v>8</v>
      </c>
      <c r="E92" s="54"/>
      <c r="F92" s="51"/>
      <c r="G92" s="52"/>
      <c r="H92" s="161">
        <v>130</v>
      </c>
      <c r="I92" s="157"/>
      <c r="J92" s="171"/>
      <c r="K92" s="11"/>
      <c r="L92" s="50"/>
      <c r="M92" s="11"/>
      <c r="N92" s="50"/>
      <c r="O92" s="161"/>
      <c r="P92" s="157"/>
      <c r="Q92" s="11"/>
      <c r="R92" s="44"/>
      <c r="S92" s="26"/>
      <c r="T92" s="53"/>
      <c r="U92" s="54"/>
      <c r="V92" s="11"/>
      <c r="W92" s="50"/>
      <c r="X92" s="161"/>
      <c r="Y92" s="157"/>
      <c r="Z92" s="4"/>
      <c r="AA92" s="11"/>
      <c r="AB92" s="11"/>
      <c r="AC92" s="50"/>
      <c r="AD92" s="161"/>
      <c r="AE92" s="157"/>
      <c r="AF92" s="4"/>
      <c r="AG92" s="188">
        <f t="shared" si="4"/>
        <v>0</v>
      </c>
      <c r="AH92" s="87">
        <f t="shared" si="5"/>
        <v>8</v>
      </c>
      <c r="AI92" s="27">
        <f t="shared" si="2"/>
        <v>-8</v>
      </c>
      <c r="AJ92" s="63">
        <f t="shared" si="6"/>
        <v>0</v>
      </c>
      <c r="AK92" s="59"/>
      <c r="AL92" s="51"/>
      <c r="AM92" s="3"/>
      <c r="AN92" s="9">
        <f>$AM$2-AM93</f>
        <v>80.7</v>
      </c>
      <c r="AP92" s="9">
        <f>$AO$2-AO92</f>
        <v>92</v>
      </c>
      <c r="AR92" s="9">
        <f>$AQ$2-AQ92</f>
        <v>95</v>
      </c>
      <c r="AT92" s="9">
        <f>$AS$2-AS92</f>
        <v>98</v>
      </c>
      <c r="AU92"/>
      <c r="AV92" s="9">
        <f>$AU$2-AU92</f>
        <v>58</v>
      </c>
      <c r="AX92" s="9">
        <f>$AW$2-AW92</f>
        <v>58</v>
      </c>
      <c r="AY92"/>
      <c r="AZ92" s="9">
        <f>$AY$2-AY92</f>
        <v>41</v>
      </c>
      <c r="BA92"/>
      <c r="BB92" s="9">
        <f>$BA$2-BA92</f>
        <v>41</v>
      </c>
      <c r="BC92"/>
      <c r="BD92" s="9">
        <f>$BC$2-BC92</f>
        <v>30</v>
      </c>
      <c r="BF92" s="37">
        <f>$BE$2-BE92</f>
        <v>30</v>
      </c>
    </row>
    <row r="93" spans="1:58" x14ac:dyDescent="0.25">
      <c r="A93" s="10"/>
      <c r="B93" s="1" t="s">
        <v>24</v>
      </c>
      <c r="C93" s="81">
        <v>42143</v>
      </c>
      <c r="D93" s="3">
        <v>6</v>
      </c>
      <c r="E93" s="54"/>
      <c r="F93" s="2">
        <v>0.20833333333333334</v>
      </c>
      <c r="G93" s="52"/>
      <c r="H93" s="161">
        <v>143</v>
      </c>
      <c r="I93" s="157"/>
      <c r="J93" s="171"/>
      <c r="K93" s="11"/>
      <c r="L93" s="50"/>
      <c r="M93" s="11"/>
      <c r="N93" s="50"/>
      <c r="O93" s="161"/>
      <c r="P93" s="157"/>
      <c r="Q93" s="11"/>
      <c r="R93" s="44"/>
      <c r="S93" s="26"/>
      <c r="T93" s="53"/>
      <c r="U93" s="54"/>
      <c r="V93" s="11"/>
      <c r="W93" s="50"/>
      <c r="X93" s="161"/>
      <c r="Y93" s="157"/>
      <c r="Z93" s="4"/>
      <c r="AA93" s="11">
        <v>4</v>
      </c>
      <c r="AB93" s="51">
        <v>0.1763888888888889</v>
      </c>
      <c r="AC93" s="50"/>
      <c r="AD93" s="161">
        <v>157</v>
      </c>
      <c r="AE93" s="157"/>
      <c r="AF93" s="4"/>
      <c r="AG93" s="50">
        <f t="shared" si="4"/>
        <v>4</v>
      </c>
      <c r="AH93" s="87">
        <f t="shared" si="5"/>
        <v>10</v>
      </c>
      <c r="AI93" s="27">
        <f t="shared" si="2"/>
        <v>-6</v>
      </c>
      <c r="AJ93" s="63">
        <f t="shared" si="6"/>
        <v>0</v>
      </c>
      <c r="AK93" s="59"/>
      <c r="AL93" s="51"/>
      <c r="AM93" s="3"/>
      <c r="AY93"/>
      <c r="BA93"/>
      <c r="BC93"/>
      <c r="BF93" s="37"/>
    </row>
    <row r="94" spans="1:58" x14ac:dyDescent="0.25">
      <c r="A94" s="10">
        <v>21</v>
      </c>
      <c r="B94" s="1" t="s">
        <v>26</v>
      </c>
      <c r="C94" s="81">
        <v>42144</v>
      </c>
      <c r="D94" s="3">
        <v>10</v>
      </c>
      <c r="E94" s="54"/>
      <c r="F94" s="2">
        <v>0.20833333333333334</v>
      </c>
      <c r="G94" s="52"/>
      <c r="H94" s="161">
        <v>143</v>
      </c>
      <c r="I94" s="157"/>
      <c r="J94" s="171"/>
      <c r="K94" s="11"/>
      <c r="L94" s="50"/>
      <c r="M94" s="11"/>
      <c r="N94" s="50"/>
      <c r="O94" s="161"/>
      <c r="P94" s="157"/>
      <c r="Q94" s="11"/>
      <c r="R94" s="44"/>
      <c r="S94" s="26"/>
      <c r="T94" s="53"/>
      <c r="U94" s="54"/>
      <c r="V94" s="11"/>
      <c r="W94" s="50"/>
      <c r="X94" s="161"/>
      <c r="Y94" s="157"/>
      <c r="Z94" s="4"/>
      <c r="AA94" s="11"/>
      <c r="AB94" s="11"/>
      <c r="AC94" s="50"/>
      <c r="AD94" s="161"/>
      <c r="AE94" s="157"/>
      <c r="AF94" s="4"/>
      <c r="AG94" s="50">
        <f t="shared" si="4"/>
        <v>0</v>
      </c>
      <c r="AH94" s="87">
        <f t="shared" si="5"/>
        <v>10</v>
      </c>
      <c r="AI94" s="27">
        <f t="shared" si="2"/>
        <v>-10</v>
      </c>
      <c r="AJ94" s="63">
        <f t="shared" si="6"/>
        <v>0</v>
      </c>
      <c r="AK94" s="59"/>
      <c r="AL94" s="51"/>
      <c r="AM94" s="3"/>
      <c r="AY94"/>
      <c r="BA94"/>
      <c r="BC94"/>
      <c r="BF94" s="37"/>
    </row>
    <row r="95" spans="1:58" x14ac:dyDescent="0.25">
      <c r="B95" s="17" t="s">
        <v>18</v>
      </c>
      <c r="C95" s="81">
        <v>42147</v>
      </c>
      <c r="D95" s="3">
        <v>10</v>
      </c>
      <c r="E95" s="54"/>
      <c r="F95" s="2">
        <v>0.20833333333333334</v>
      </c>
      <c r="G95" s="52"/>
      <c r="H95" s="161">
        <v>143</v>
      </c>
      <c r="I95" s="157"/>
      <c r="J95" s="171"/>
      <c r="K95" s="11"/>
      <c r="L95" s="50"/>
      <c r="M95" s="2"/>
      <c r="N95" s="52"/>
      <c r="O95" s="161"/>
      <c r="P95" s="157"/>
      <c r="Q95" s="26"/>
      <c r="R95" s="44"/>
      <c r="S95" s="26"/>
      <c r="T95" s="53"/>
      <c r="U95" s="54"/>
      <c r="V95" s="11"/>
      <c r="W95" s="64"/>
      <c r="X95" s="161"/>
      <c r="Y95" s="157"/>
      <c r="Z95" s="15"/>
      <c r="AA95" s="11"/>
      <c r="AB95" s="11"/>
      <c r="AC95" s="50"/>
      <c r="AD95" s="161"/>
      <c r="AE95" s="157"/>
      <c r="AF95" s="11"/>
      <c r="AG95" s="61">
        <f t="shared" si="4"/>
        <v>0</v>
      </c>
      <c r="AH95" s="88">
        <f t="shared" si="5"/>
        <v>10</v>
      </c>
      <c r="AI95" s="27">
        <f t="shared" si="2"/>
        <v>-10</v>
      </c>
      <c r="AJ95" s="58">
        <f t="shared" si="6"/>
        <v>0</v>
      </c>
      <c r="AK95" s="59"/>
      <c r="AL95" s="51"/>
      <c r="AM95" s="3"/>
      <c r="AN95" s="55"/>
      <c r="AO95" s="11"/>
      <c r="AP95" s="55"/>
      <c r="AQ95" s="11"/>
      <c r="AR95" s="55"/>
      <c r="AS95" s="11"/>
      <c r="AT95" s="55"/>
      <c r="AU95" s="11"/>
      <c r="AV95" s="55"/>
      <c r="AW95" s="11"/>
      <c r="AX95" s="55"/>
      <c r="AY95" s="11"/>
      <c r="AZ95" s="55"/>
      <c r="BA95" s="11"/>
      <c r="BB95" s="55"/>
      <c r="BC95" s="11"/>
      <c r="BD95" s="55"/>
      <c r="BE95" s="11"/>
      <c r="BF95" s="37"/>
    </row>
    <row r="96" spans="1:58" x14ac:dyDescent="0.25">
      <c r="A96" s="65"/>
      <c r="B96" s="17" t="s">
        <v>27</v>
      </c>
      <c r="C96" s="86">
        <v>42148</v>
      </c>
      <c r="D96" s="68"/>
      <c r="E96" s="72"/>
      <c r="F96" s="70"/>
      <c r="G96" s="69"/>
      <c r="H96" s="162"/>
      <c r="I96" s="158"/>
      <c r="J96" s="173"/>
      <c r="K96" s="70"/>
      <c r="L96" s="69"/>
      <c r="M96" s="70"/>
      <c r="N96" s="69"/>
      <c r="O96" s="162"/>
      <c r="P96" s="158"/>
      <c r="Q96" s="70"/>
      <c r="R96" s="77"/>
      <c r="S96" s="83"/>
      <c r="T96" s="71"/>
      <c r="U96" s="72"/>
      <c r="V96" s="70"/>
      <c r="W96" s="69"/>
      <c r="X96" s="162"/>
      <c r="Y96" s="158"/>
      <c r="Z96" s="76"/>
      <c r="AA96" s="70">
        <v>42.195</v>
      </c>
      <c r="AB96" s="177">
        <v>0.1763888888888889</v>
      </c>
      <c r="AC96" s="79">
        <v>0.1763888888888889</v>
      </c>
      <c r="AD96" s="162"/>
      <c r="AE96" s="158">
        <v>163</v>
      </c>
      <c r="AF96" s="80">
        <v>0.12450231481481482</v>
      </c>
      <c r="AG96" s="75">
        <f>AA96</f>
        <v>42.195</v>
      </c>
      <c r="AH96" s="154">
        <f t="shared" si="5"/>
        <v>42.195</v>
      </c>
      <c r="AI96" s="67">
        <f>AG96-AH96</f>
        <v>0</v>
      </c>
      <c r="AJ96" s="153">
        <f t="shared" si="6"/>
        <v>0.12450231481481482</v>
      </c>
      <c r="AK96" s="68"/>
      <c r="AL96" s="76"/>
      <c r="AM96" s="70"/>
      <c r="AN96" s="73">
        <f>$AM$2-AM96</f>
        <v>80.7</v>
      </c>
      <c r="AO96" s="70"/>
      <c r="AP96" s="73"/>
      <c r="AQ96" s="70"/>
      <c r="AR96" s="73"/>
      <c r="AS96" s="70"/>
      <c r="AT96" s="73"/>
      <c r="AU96" s="70"/>
      <c r="AV96" s="73"/>
      <c r="AW96" s="70"/>
      <c r="AX96" s="73"/>
      <c r="AY96" s="70"/>
      <c r="AZ96" s="73"/>
      <c r="BA96" s="70"/>
      <c r="BB96" s="73"/>
      <c r="BC96" s="70"/>
      <c r="BD96" s="73"/>
      <c r="BE96" s="70"/>
      <c r="BF96" s="74"/>
    </row>
    <row r="97" spans="1:57" x14ac:dyDescent="0.25">
      <c r="A97" s="6"/>
      <c r="H97" s="159"/>
      <c r="I97" s="147"/>
      <c r="O97" s="159"/>
      <c r="P97" s="147"/>
      <c r="X97" s="159"/>
      <c r="Y97" s="147"/>
      <c r="AD97" s="159"/>
      <c r="AE97" s="147"/>
      <c r="AY97"/>
      <c r="BA97"/>
      <c r="BC97"/>
    </row>
    <row r="98" spans="1:57" x14ac:dyDescent="0.25">
      <c r="A98" s="6"/>
      <c r="H98" s="159"/>
      <c r="I98" s="147"/>
      <c r="O98" s="159"/>
      <c r="P98" s="147"/>
      <c r="X98" s="159"/>
      <c r="Y98" s="147"/>
      <c r="AD98" s="159"/>
      <c r="AE98" s="147"/>
      <c r="AG98" s="13">
        <f>SUM(AG2:AG97)</f>
        <v>362.815</v>
      </c>
      <c r="AH98" s="13">
        <f>SUM(AH2:AH97)</f>
        <v>1337.1049999999998</v>
      </c>
      <c r="AI98" s="13">
        <f>AG98-AH98</f>
        <v>-974.28999999999974</v>
      </c>
      <c r="AJ98" s="14">
        <f>SUM(AJ2:AJ97)</f>
        <v>0.82011574074074067</v>
      </c>
      <c r="AK98" s="35">
        <f>SUM(AK2:AK95)</f>
        <v>316.62</v>
      </c>
      <c r="AL98" s="21">
        <f>SUM(AL2:AL97)</f>
        <v>0.71158564814814818</v>
      </c>
      <c r="AY98"/>
      <c r="BA98"/>
      <c r="BC98"/>
    </row>
    <row r="99" spans="1:57" x14ac:dyDescent="0.25">
      <c r="A99" s="6"/>
      <c r="D99">
        <f>SUM(D2:D95)</f>
        <v>1055</v>
      </c>
      <c r="E99" s="46">
        <f>SUM(E2:E95)</f>
        <v>160.22999999999999</v>
      </c>
      <c r="H99" s="159"/>
      <c r="I99" s="147"/>
      <c r="K99">
        <f>SUM(K2:K95)</f>
        <v>93</v>
      </c>
      <c r="L99">
        <f>SUM(L2:L95)</f>
        <v>13.48</v>
      </c>
      <c r="O99" s="159"/>
      <c r="P99" s="147"/>
      <c r="U99">
        <f>SUM(U2:U95)</f>
        <v>28</v>
      </c>
      <c r="X99" s="159"/>
      <c r="Y99" s="147"/>
      <c r="AA99">
        <f>SUM(AA2:AA95)</f>
        <v>118</v>
      </c>
      <c r="AC99"/>
      <c r="AD99" s="159"/>
      <c r="AE99" s="147"/>
      <c r="AG99" s="41"/>
      <c r="AY99"/>
      <c r="BA99"/>
      <c r="BC99"/>
    </row>
    <row r="100" spans="1:57" x14ac:dyDescent="0.25">
      <c r="A100" s="6"/>
      <c r="H100" s="159"/>
      <c r="I100" s="147"/>
      <c r="O100" s="159"/>
      <c r="P100" s="147"/>
      <c r="X100" s="159"/>
      <c r="Y100" s="147"/>
      <c r="AD100" s="159"/>
      <c r="AE100" s="147"/>
      <c r="AG100" s="41"/>
      <c r="AY100"/>
      <c r="BA100"/>
      <c r="BC100"/>
    </row>
    <row r="101" spans="1:57" x14ac:dyDescent="0.25">
      <c r="A101" s="6"/>
      <c r="H101" s="159"/>
      <c r="I101" s="147"/>
      <c r="O101" s="159"/>
      <c r="P101" s="147"/>
      <c r="X101" s="159"/>
      <c r="Y101" s="147"/>
      <c r="AD101" s="159"/>
      <c r="AE101" s="147"/>
      <c r="AY101"/>
      <c r="BA101"/>
      <c r="BC101"/>
    </row>
    <row r="102" spans="1:57" x14ac:dyDescent="0.25">
      <c r="H102" s="112"/>
      <c r="O102" s="112"/>
      <c r="X102" s="112"/>
      <c r="AD102" s="112"/>
      <c r="AY102"/>
      <c r="BA102"/>
      <c r="BC102"/>
    </row>
    <row r="103" spans="1:57" x14ac:dyDescent="0.25">
      <c r="H103" s="112"/>
      <c r="O103" s="112"/>
      <c r="X103" s="112"/>
      <c r="AD103" s="112"/>
      <c r="AY103"/>
      <c r="BA103"/>
      <c r="BC103"/>
    </row>
    <row r="104" spans="1:57" x14ac:dyDescent="0.25">
      <c r="H104" s="112"/>
      <c r="O104" s="112"/>
      <c r="X104" s="112"/>
      <c r="AD104" s="112"/>
      <c r="AY104"/>
      <c r="BA104"/>
      <c r="BC104"/>
    </row>
    <row r="105" spans="1:57" x14ac:dyDescent="0.25">
      <c r="H105" s="112"/>
      <c r="O105" s="112"/>
      <c r="X105" s="112"/>
      <c r="AD105" s="112"/>
      <c r="AY105"/>
      <c r="BA105"/>
      <c r="BC105"/>
    </row>
    <row r="106" spans="1:57" x14ac:dyDescent="0.25">
      <c r="H106" s="112"/>
      <c r="O106" s="112"/>
      <c r="X106" s="112"/>
      <c r="AD106" s="112"/>
      <c r="AY106"/>
      <c r="BA106"/>
      <c r="BC106"/>
    </row>
    <row r="107" spans="1:57" x14ac:dyDescent="0.25">
      <c r="H107" s="112"/>
      <c r="O107" s="112"/>
      <c r="X107" s="112"/>
      <c r="AD107" s="112"/>
      <c r="AY107"/>
      <c r="BA107"/>
      <c r="BC107"/>
    </row>
    <row r="108" spans="1:57" x14ac:dyDescent="0.25">
      <c r="H108" s="112"/>
      <c r="O108" s="112"/>
      <c r="X108" s="112"/>
      <c r="AD108" s="112"/>
      <c r="AY108"/>
      <c r="BA108"/>
      <c r="BC108"/>
    </row>
    <row r="109" spans="1:57" x14ac:dyDescent="0.25">
      <c r="H109" s="112"/>
      <c r="O109" s="112"/>
      <c r="X109" s="112"/>
      <c r="AD109" s="112"/>
      <c r="AY109"/>
      <c r="BA109"/>
      <c r="BC109"/>
    </row>
    <row r="110" spans="1:57" x14ac:dyDescent="0.25">
      <c r="H110" s="112"/>
      <c r="O110" s="112"/>
      <c r="X110" s="112"/>
      <c r="AD110" s="112"/>
      <c r="AY110"/>
      <c r="BA110"/>
      <c r="BC110"/>
    </row>
    <row r="111" spans="1:57" x14ac:dyDescent="0.25">
      <c r="H111" s="112"/>
      <c r="O111" s="112"/>
      <c r="X111" s="112"/>
      <c r="AD111" s="112"/>
      <c r="AY111"/>
      <c r="BA111"/>
      <c r="BC111"/>
    </row>
    <row r="112" spans="1:57" s="9" customFormat="1" x14ac:dyDescent="0.25">
      <c r="A112"/>
      <c r="B112"/>
      <c r="C112"/>
      <c r="D112"/>
      <c r="E112" s="41"/>
      <c r="F112"/>
      <c r="G112" s="13"/>
      <c r="H112" s="112"/>
      <c r="I112" s="13"/>
      <c r="J112" s="174"/>
      <c r="K112"/>
      <c r="L112" s="13"/>
      <c r="M112"/>
      <c r="N112" s="13"/>
      <c r="O112" s="112"/>
      <c r="P112" s="13"/>
      <c r="Q112"/>
      <c r="R112" s="46"/>
      <c r="S112" s="46"/>
      <c r="T112" s="30"/>
      <c r="U112" s="41"/>
      <c r="V112"/>
      <c r="W112" s="13"/>
      <c r="X112" s="112"/>
      <c r="Y112" s="13"/>
      <c r="Z112"/>
      <c r="AA112"/>
      <c r="AB112"/>
      <c r="AC112" s="13"/>
      <c r="AD112" s="112"/>
      <c r="AE112" s="13"/>
      <c r="AF112"/>
      <c r="AG112" s="13"/>
      <c r="AH112"/>
      <c r="AI112"/>
      <c r="AJ112" s="13"/>
      <c r="AK112" s="13"/>
      <c r="AL112" s="13"/>
      <c r="AM112"/>
      <c r="AO112"/>
      <c r="AQ112"/>
      <c r="AS112"/>
      <c r="AW112"/>
      <c r="AY112"/>
      <c r="BA112"/>
      <c r="BC112"/>
      <c r="BE112"/>
    </row>
    <row r="113" spans="1:58" s="9" customFormat="1" x14ac:dyDescent="0.25">
      <c r="A113"/>
      <c r="B113"/>
      <c r="C113"/>
      <c r="D113"/>
      <c r="E113" s="41"/>
      <c r="F113"/>
      <c r="G113" s="13"/>
      <c r="H113" s="112"/>
      <c r="I113" s="13"/>
      <c r="J113" s="174"/>
      <c r="K113"/>
      <c r="L113" s="13"/>
      <c r="M113"/>
      <c r="N113" s="13"/>
      <c r="O113" s="112"/>
      <c r="P113" s="13"/>
      <c r="Q113"/>
      <c r="R113" s="46"/>
      <c r="S113" s="46"/>
      <c r="T113" s="30"/>
      <c r="U113" s="41"/>
      <c r="V113"/>
      <c r="W113" s="13"/>
      <c r="X113" s="112"/>
      <c r="Y113" s="13"/>
      <c r="Z113"/>
      <c r="AA113"/>
      <c r="AB113"/>
      <c r="AC113" s="13"/>
      <c r="AD113" s="112"/>
      <c r="AE113" s="13"/>
      <c r="AF113"/>
      <c r="AG113" s="13"/>
      <c r="AH113"/>
      <c r="AI113"/>
      <c r="AJ113" s="13"/>
      <c r="AK113" s="13"/>
      <c r="AL113" s="13"/>
      <c r="AM113"/>
      <c r="AO113"/>
      <c r="AQ113"/>
      <c r="AS113"/>
      <c r="AW113"/>
      <c r="BE113"/>
    </row>
    <row r="114" spans="1:58" s="9" customFormat="1" x14ac:dyDescent="0.25">
      <c r="A114"/>
      <c r="B114"/>
      <c r="C114"/>
      <c r="D114"/>
      <c r="E114" s="41"/>
      <c r="F114"/>
      <c r="G114" s="13"/>
      <c r="H114" s="112"/>
      <c r="I114" s="13"/>
      <c r="J114" s="174"/>
      <c r="K114"/>
      <c r="L114" s="13"/>
      <c r="M114"/>
      <c r="N114" s="13"/>
      <c r="O114" s="112"/>
      <c r="P114" s="13"/>
      <c r="Q114"/>
      <c r="R114" s="46"/>
      <c r="S114" s="46"/>
      <c r="T114" s="30"/>
      <c r="U114" s="41"/>
      <c r="V114"/>
      <c r="W114" s="13"/>
      <c r="X114" s="112"/>
      <c r="Y114" s="13"/>
      <c r="Z114"/>
      <c r="AA114"/>
      <c r="AB114"/>
      <c r="AC114" s="13"/>
      <c r="AD114" s="112"/>
      <c r="AE114" s="13"/>
      <c r="AF114"/>
      <c r="AG114" s="13"/>
      <c r="AH114"/>
      <c r="AI114"/>
      <c r="AJ114" s="13"/>
      <c r="AK114" s="13"/>
      <c r="AL114" s="13"/>
      <c r="AM114"/>
      <c r="AO114"/>
      <c r="AQ114"/>
      <c r="AS114"/>
      <c r="AW114"/>
      <c r="BE114"/>
    </row>
    <row r="115" spans="1:58" s="9" customFormat="1" x14ac:dyDescent="0.25">
      <c r="A115"/>
      <c r="B115"/>
      <c r="C115"/>
      <c r="D115"/>
      <c r="E115" s="41"/>
      <c r="F115"/>
      <c r="G115" s="13"/>
      <c r="H115" s="112"/>
      <c r="I115" s="13"/>
      <c r="J115" s="174"/>
      <c r="K115"/>
      <c r="L115" s="13"/>
      <c r="M115"/>
      <c r="N115" s="13"/>
      <c r="O115" s="112"/>
      <c r="P115" s="13"/>
      <c r="Q115"/>
      <c r="R115" s="46"/>
      <c r="S115" s="46"/>
      <c r="T115" s="30"/>
      <c r="U115" s="41"/>
      <c r="V115"/>
      <c r="W115" s="13"/>
      <c r="X115" s="112"/>
      <c r="Y115" s="13"/>
      <c r="Z115"/>
      <c r="AA115"/>
      <c r="AB115"/>
      <c r="AC115" s="13"/>
      <c r="AD115" s="112"/>
      <c r="AE115" s="13"/>
      <c r="AF115"/>
      <c r="AG115" s="13"/>
      <c r="AH115"/>
      <c r="AI115"/>
      <c r="AJ115" s="13"/>
      <c r="AK115" s="13"/>
      <c r="AL115" s="13"/>
      <c r="AM115"/>
      <c r="AO115"/>
      <c r="AQ115"/>
      <c r="AS115"/>
      <c r="AW115"/>
      <c r="BE115"/>
    </row>
    <row r="116" spans="1:58" s="9" customFormat="1" x14ac:dyDescent="0.25">
      <c r="A116"/>
      <c r="B116"/>
      <c r="C116"/>
      <c r="D116"/>
      <c r="E116" s="41"/>
      <c r="F116"/>
      <c r="G116" s="13"/>
      <c r="H116" s="112"/>
      <c r="I116" s="13"/>
      <c r="J116" s="174"/>
      <c r="K116"/>
      <c r="L116" s="13"/>
      <c r="M116"/>
      <c r="N116" s="13"/>
      <c r="O116" s="112"/>
      <c r="P116" s="13"/>
      <c r="Q116"/>
      <c r="R116" s="46"/>
      <c r="S116" s="46"/>
      <c r="T116" s="30"/>
      <c r="U116" s="41"/>
      <c r="V116"/>
      <c r="W116" s="13"/>
      <c r="X116" s="112"/>
      <c r="Y116" s="13"/>
      <c r="Z116"/>
      <c r="AA116"/>
      <c r="AB116"/>
      <c r="AC116" s="13"/>
      <c r="AD116" s="112"/>
      <c r="AE116" s="13"/>
      <c r="AF116"/>
      <c r="AG116" s="13"/>
      <c r="AH116"/>
      <c r="AI116"/>
      <c r="AJ116" s="13"/>
      <c r="AK116" s="13"/>
      <c r="AL116" s="13"/>
      <c r="AM116"/>
      <c r="AO116"/>
      <c r="AQ116"/>
      <c r="AS116"/>
      <c r="AW116"/>
      <c r="BE116"/>
    </row>
    <row r="117" spans="1:58" s="9" customFormat="1" x14ac:dyDescent="0.25">
      <c r="A117"/>
      <c r="B117"/>
      <c r="C117"/>
      <c r="D117"/>
      <c r="E117" s="41"/>
      <c r="F117"/>
      <c r="G117" s="13"/>
      <c r="H117" s="112"/>
      <c r="I117" s="13"/>
      <c r="J117" s="174"/>
      <c r="K117"/>
      <c r="L117" s="13"/>
      <c r="M117"/>
      <c r="N117" s="13"/>
      <c r="O117" s="112"/>
      <c r="P117" s="13"/>
      <c r="Q117"/>
      <c r="R117" s="46"/>
      <c r="S117" s="46"/>
      <c r="T117" s="30"/>
      <c r="U117" s="41"/>
      <c r="V117"/>
      <c r="W117" s="13"/>
      <c r="X117" s="112"/>
      <c r="Y117" s="13"/>
      <c r="Z117"/>
      <c r="AA117"/>
      <c r="AB117"/>
      <c r="AC117" s="13"/>
      <c r="AD117" s="112"/>
      <c r="AE117" s="13"/>
      <c r="AF117"/>
      <c r="AG117" s="13"/>
      <c r="AH117"/>
      <c r="AI117"/>
      <c r="AJ117" s="13"/>
      <c r="AK117" s="13"/>
      <c r="AL117" s="13"/>
      <c r="AM117"/>
      <c r="AO117"/>
      <c r="AQ117"/>
      <c r="AS117"/>
      <c r="AW117"/>
      <c r="BE117"/>
    </row>
    <row r="118" spans="1:58" s="9" customFormat="1" x14ac:dyDescent="0.25">
      <c r="A118"/>
      <c r="B118"/>
      <c r="C118"/>
      <c r="D118"/>
      <c r="E118" s="41"/>
      <c r="F118"/>
      <c r="G118" s="13"/>
      <c r="H118" s="112"/>
      <c r="I118" s="13"/>
      <c r="J118" s="174"/>
      <c r="K118"/>
      <c r="L118" s="13"/>
      <c r="M118"/>
      <c r="N118" s="13"/>
      <c r="O118" s="112"/>
      <c r="P118" s="13"/>
      <c r="Q118"/>
      <c r="R118" s="46"/>
      <c r="S118" s="46"/>
      <c r="T118" s="30"/>
      <c r="U118" s="41"/>
      <c r="V118"/>
      <c r="W118" s="13"/>
      <c r="X118" s="112"/>
      <c r="Y118" s="13"/>
      <c r="Z118"/>
      <c r="AA118"/>
      <c r="AB118"/>
      <c r="AC118" s="13"/>
      <c r="AD118" s="112"/>
      <c r="AE118" s="13"/>
      <c r="AF118"/>
      <c r="AG118" s="13"/>
      <c r="AH118"/>
      <c r="AI118"/>
      <c r="AJ118" s="13"/>
      <c r="AK118" s="13"/>
      <c r="AL118" s="13"/>
      <c r="AM118"/>
      <c r="AO118"/>
      <c r="AQ118"/>
      <c r="AS118"/>
      <c r="AW118"/>
      <c r="BE118"/>
    </row>
    <row r="119" spans="1:58" s="9" customFormat="1" x14ac:dyDescent="0.25">
      <c r="A119"/>
      <c r="B119"/>
      <c r="C119"/>
      <c r="D119"/>
      <c r="E119" s="41"/>
      <c r="F119"/>
      <c r="G119" s="13"/>
      <c r="H119" s="112"/>
      <c r="I119" s="13"/>
      <c r="J119" s="174"/>
      <c r="K119"/>
      <c r="L119" s="13"/>
      <c r="M119"/>
      <c r="N119" s="13"/>
      <c r="O119" s="112"/>
      <c r="P119" s="13"/>
      <c r="Q119"/>
      <c r="R119" s="46"/>
      <c r="S119" s="46"/>
      <c r="T119" s="30"/>
      <c r="U119" s="41"/>
      <c r="V119"/>
      <c r="W119" s="13"/>
      <c r="X119" s="112"/>
      <c r="Y119" s="13"/>
      <c r="Z119"/>
      <c r="AA119"/>
      <c r="AB119"/>
      <c r="AC119" s="13"/>
      <c r="AD119" s="112"/>
      <c r="AE119" s="13"/>
      <c r="AF119"/>
      <c r="AG119" s="13"/>
      <c r="AH119"/>
      <c r="AI119"/>
      <c r="AJ119" s="13"/>
      <c r="AK119" s="13"/>
      <c r="AL119" s="13"/>
      <c r="AM119"/>
      <c r="AO119"/>
      <c r="AQ119"/>
      <c r="AS119"/>
      <c r="AW119"/>
      <c r="BE119"/>
    </row>
    <row r="120" spans="1:58" s="9" customFormat="1" x14ac:dyDescent="0.25">
      <c r="A120"/>
      <c r="B120"/>
      <c r="C120"/>
      <c r="D120"/>
      <c r="E120" s="41"/>
      <c r="F120"/>
      <c r="G120" s="13"/>
      <c r="H120" s="112"/>
      <c r="I120" s="13"/>
      <c r="J120" s="174"/>
      <c r="K120"/>
      <c r="L120" s="13"/>
      <c r="M120"/>
      <c r="N120" s="13"/>
      <c r="O120" s="112"/>
      <c r="P120" s="13"/>
      <c r="Q120"/>
      <c r="R120" s="46"/>
      <c r="S120" s="46"/>
      <c r="T120" s="30"/>
      <c r="U120" s="41"/>
      <c r="V120"/>
      <c r="W120" s="13"/>
      <c r="X120" s="112"/>
      <c r="Y120" s="13"/>
      <c r="Z120"/>
      <c r="AA120"/>
      <c r="AB120"/>
      <c r="AC120" s="13"/>
      <c r="AD120" s="112"/>
      <c r="AE120" s="13"/>
      <c r="AF120"/>
      <c r="AG120" s="13"/>
      <c r="AH120"/>
      <c r="AI120"/>
      <c r="AJ120" s="13"/>
      <c r="AK120" s="13"/>
      <c r="AL120" s="13"/>
      <c r="AM120"/>
      <c r="AO120"/>
      <c r="AQ120"/>
      <c r="AS120"/>
      <c r="AW120"/>
      <c r="BE120"/>
    </row>
    <row r="121" spans="1:58" s="9" customFormat="1" x14ac:dyDescent="0.25">
      <c r="A121"/>
      <c r="B121"/>
      <c r="C121"/>
      <c r="D121"/>
      <c r="E121" s="41"/>
      <c r="F121"/>
      <c r="G121" s="13"/>
      <c r="H121" s="112"/>
      <c r="I121" s="13"/>
      <c r="J121" s="174"/>
      <c r="K121"/>
      <c r="L121" s="13"/>
      <c r="M121"/>
      <c r="N121" s="13"/>
      <c r="O121" s="112"/>
      <c r="P121" s="13"/>
      <c r="Q121"/>
      <c r="R121" s="46"/>
      <c r="S121" s="46"/>
      <c r="T121" s="30"/>
      <c r="U121" s="41"/>
      <c r="V121"/>
      <c r="W121" s="13"/>
      <c r="X121" s="112"/>
      <c r="Y121" s="13"/>
      <c r="Z121"/>
      <c r="AA121"/>
      <c r="AB121"/>
      <c r="AC121" s="13"/>
      <c r="AD121" s="112"/>
      <c r="AE121" s="13"/>
      <c r="AF121"/>
      <c r="AG121" s="13"/>
      <c r="AH121"/>
      <c r="AI121"/>
      <c r="AJ121" s="13"/>
      <c r="AK121" s="13"/>
      <c r="AL121" s="13"/>
      <c r="AM121"/>
      <c r="AO121"/>
      <c r="AQ121"/>
      <c r="AS121"/>
      <c r="AW121"/>
      <c r="BE121"/>
    </row>
    <row r="122" spans="1:58" s="9" customFormat="1" x14ac:dyDescent="0.25">
      <c r="A122"/>
      <c r="B122"/>
      <c r="C122"/>
      <c r="D122"/>
      <c r="E122" s="41"/>
      <c r="F122"/>
      <c r="G122" s="13"/>
      <c r="H122" s="112"/>
      <c r="I122" s="13"/>
      <c r="J122" s="174"/>
      <c r="K122"/>
      <c r="L122" s="13"/>
      <c r="M122"/>
      <c r="N122" s="13"/>
      <c r="O122" s="112"/>
      <c r="P122" s="13"/>
      <c r="Q122"/>
      <c r="R122" s="46"/>
      <c r="S122" s="46"/>
      <c r="T122" s="30"/>
      <c r="U122" s="41"/>
      <c r="V122"/>
      <c r="W122" s="13"/>
      <c r="X122" s="112"/>
      <c r="Y122" s="13"/>
      <c r="Z122"/>
      <c r="AA122"/>
      <c r="AB122"/>
      <c r="AC122" s="13"/>
      <c r="AD122" s="112"/>
      <c r="AE122" s="13"/>
      <c r="AF122"/>
      <c r="AG122" s="13"/>
      <c r="AH122"/>
      <c r="AI122"/>
      <c r="AJ122" s="13"/>
      <c r="AK122" s="13"/>
      <c r="AL122" s="13"/>
      <c r="AM122"/>
      <c r="AO122"/>
      <c r="AQ122"/>
      <c r="AS122"/>
      <c r="AW122"/>
      <c r="BE122"/>
    </row>
    <row r="123" spans="1:58" s="9" customFormat="1" x14ac:dyDescent="0.25">
      <c r="A123"/>
      <c r="B123"/>
      <c r="C123"/>
      <c r="D123"/>
      <c r="E123" s="41"/>
      <c r="F123"/>
      <c r="G123" s="13"/>
      <c r="H123" s="112"/>
      <c r="I123" s="13"/>
      <c r="J123" s="174"/>
      <c r="K123"/>
      <c r="L123" s="13"/>
      <c r="M123"/>
      <c r="N123" s="13"/>
      <c r="O123" s="112"/>
      <c r="P123" s="13"/>
      <c r="Q123"/>
      <c r="R123" s="46"/>
      <c r="S123" s="46"/>
      <c r="T123" s="30"/>
      <c r="U123" s="41"/>
      <c r="V123"/>
      <c r="W123" s="13"/>
      <c r="X123" s="112"/>
      <c r="Y123" s="13"/>
      <c r="Z123"/>
      <c r="AA123"/>
      <c r="AB123"/>
      <c r="AC123" s="13"/>
      <c r="AD123" s="112"/>
      <c r="AE123" s="13"/>
      <c r="AF123"/>
      <c r="AG123" s="13"/>
      <c r="AH123"/>
      <c r="AI123"/>
      <c r="AJ123" s="13"/>
      <c r="AK123" s="13"/>
      <c r="AL123" s="13"/>
      <c r="AM123"/>
      <c r="AO123"/>
      <c r="AQ123"/>
      <c r="AS123"/>
      <c r="AW123"/>
      <c r="BE123"/>
    </row>
    <row r="124" spans="1:58" s="9" customFormat="1" x14ac:dyDescent="0.25">
      <c r="A124"/>
      <c r="B124"/>
      <c r="C124"/>
      <c r="D124"/>
      <c r="E124" s="41"/>
      <c r="F124"/>
      <c r="G124" s="13"/>
      <c r="H124" s="112"/>
      <c r="I124" s="13"/>
      <c r="J124" s="174"/>
      <c r="K124"/>
      <c r="L124" s="13"/>
      <c r="M124"/>
      <c r="N124" s="13"/>
      <c r="O124" s="112"/>
      <c r="P124" s="13"/>
      <c r="Q124"/>
      <c r="R124" s="46"/>
      <c r="S124" s="46"/>
      <c r="T124" s="30"/>
      <c r="U124" s="41"/>
      <c r="V124"/>
      <c r="W124" s="13"/>
      <c r="X124" s="112"/>
      <c r="Y124" s="13"/>
      <c r="Z124"/>
      <c r="AA124"/>
      <c r="AB124"/>
      <c r="AC124" s="13"/>
      <c r="AD124" s="112"/>
      <c r="AE124" s="13"/>
      <c r="AF124"/>
      <c r="AG124" s="13"/>
      <c r="AH124"/>
      <c r="AI124"/>
      <c r="AJ124" s="13"/>
      <c r="AK124" s="13"/>
      <c r="AL124" s="13"/>
      <c r="AM124"/>
      <c r="AO124"/>
      <c r="AQ124"/>
      <c r="AS124"/>
      <c r="AW124"/>
      <c r="BE124"/>
    </row>
    <row r="125" spans="1:58" s="9" customFormat="1" x14ac:dyDescent="0.25">
      <c r="A125"/>
      <c r="B125"/>
      <c r="C125"/>
      <c r="D125"/>
      <c r="E125" s="41"/>
      <c r="F125"/>
      <c r="G125" s="13"/>
      <c r="H125" s="112"/>
      <c r="I125" s="13"/>
      <c r="J125" s="174"/>
      <c r="K125"/>
      <c r="L125" s="13"/>
      <c r="M125"/>
      <c r="N125" s="13"/>
      <c r="O125" s="112"/>
      <c r="P125" s="13"/>
      <c r="Q125"/>
      <c r="R125" s="46"/>
      <c r="S125" s="46"/>
      <c r="T125" s="30"/>
      <c r="U125" s="41"/>
      <c r="V125"/>
      <c r="W125" s="13"/>
      <c r="X125" s="112"/>
      <c r="Y125" s="13"/>
      <c r="Z125"/>
      <c r="AA125"/>
      <c r="AB125"/>
      <c r="AC125" s="13"/>
      <c r="AD125" s="112"/>
      <c r="AE125" s="13"/>
      <c r="AF125"/>
      <c r="AG125" s="13"/>
      <c r="AH125"/>
      <c r="AI125"/>
      <c r="AJ125" s="13"/>
      <c r="AK125" s="13"/>
      <c r="AL125" s="13"/>
      <c r="AM125"/>
      <c r="AO125"/>
      <c r="AQ125"/>
      <c r="AS125"/>
      <c r="AW125"/>
      <c r="BE125"/>
    </row>
    <row r="126" spans="1:58" s="9" customFormat="1" x14ac:dyDescent="0.25">
      <c r="A126"/>
      <c r="B126"/>
      <c r="C126"/>
      <c r="D126"/>
      <c r="E126" s="41"/>
      <c r="F126"/>
      <c r="G126" s="13"/>
      <c r="H126" s="112"/>
      <c r="I126" s="13"/>
      <c r="J126" s="174"/>
      <c r="K126"/>
      <c r="L126" s="13"/>
      <c r="M126"/>
      <c r="N126" s="13"/>
      <c r="O126" s="112"/>
      <c r="P126" s="13"/>
      <c r="Q126"/>
      <c r="R126" s="46"/>
      <c r="S126" s="46"/>
      <c r="T126" s="30"/>
      <c r="U126" s="41"/>
      <c r="V126"/>
      <c r="W126" s="13"/>
      <c r="X126" s="112"/>
      <c r="Y126" s="13"/>
      <c r="Z126"/>
      <c r="AA126"/>
      <c r="AB126"/>
      <c r="AC126" s="13"/>
      <c r="AD126" s="112"/>
      <c r="AE126" s="13"/>
      <c r="AF126"/>
      <c r="AG126" s="13"/>
      <c r="AH126"/>
      <c r="AI126"/>
      <c r="AJ126" s="13"/>
      <c r="AK126" s="13"/>
      <c r="AL126" s="13"/>
      <c r="AM126"/>
      <c r="AO126"/>
      <c r="AQ126"/>
      <c r="AS126"/>
      <c r="AW126"/>
      <c r="BE126"/>
    </row>
    <row r="127" spans="1:58" s="9" customFormat="1" x14ac:dyDescent="0.25">
      <c r="A127"/>
      <c r="B127"/>
      <c r="C127"/>
      <c r="D127"/>
      <c r="E127" s="41"/>
      <c r="F127"/>
      <c r="G127" s="13"/>
      <c r="H127" s="112"/>
      <c r="I127" s="13"/>
      <c r="J127" s="174"/>
      <c r="K127"/>
      <c r="L127" s="13"/>
      <c r="M127"/>
      <c r="N127" s="13"/>
      <c r="O127" s="112"/>
      <c r="P127" s="13"/>
      <c r="Q127"/>
      <c r="R127" s="46"/>
      <c r="S127" s="46"/>
      <c r="T127" s="30"/>
      <c r="U127" s="41"/>
      <c r="V127"/>
      <c r="W127" s="13"/>
      <c r="X127" s="112"/>
      <c r="Y127" s="13"/>
      <c r="Z127"/>
      <c r="AA127"/>
      <c r="AB127"/>
      <c r="AC127" s="13"/>
      <c r="AD127" s="112"/>
      <c r="AE127" s="13"/>
      <c r="AF127"/>
      <c r="AG127" s="13"/>
      <c r="AH127"/>
      <c r="AI127"/>
      <c r="AJ127" s="13"/>
      <c r="AK127" s="13"/>
      <c r="AL127" s="13"/>
      <c r="AM127"/>
      <c r="AO127"/>
      <c r="AQ127"/>
      <c r="AS127"/>
      <c r="AW127"/>
      <c r="BE127"/>
    </row>
    <row r="128" spans="1:58" s="13" customFormat="1" x14ac:dyDescent="0.25">
      <c r="A128"/>
      <c r="B128"/>
      <c r="C128"/>
      <c r="D128"/>
      <c r="E128" s="41"/>
      <c r="F128"/>
      <c r="H128" s="112"/>
      <c r="J128" s="174"/>
      <c r="K128"/>
      <c r="M128"/>
      <c r="O128" s="112"/>
      <c r="Q128"/>
      <c r="R128" s="46"/>
      <c r="S128" s="46"/>
      <c r="T128" s="30"/>
      <c r="U128" s="41"/>
      <c r="V128"/>
      <c r="X128" s="112"/>
      <c r="Z128"/>
      <c r="AA128"/>
      <c r="AB128"/>
      <c r="AD128" s="112"/>
      <c r="AF128"/>
      <c r="AH128"/>
      <c r="AI128"/>
      <c r="AM128"/>
      <c r="AN128" s="9"/>
      <c r="AO128"/>
      <c r="AP128" s="9"/>
      <c r="AQ128"/>
      <c r="AR128" s="9"/>
      <c r="AS128"/>
      <c r="AT128" s="9"/>
      <c r="AU128" s="9"/>
      <c r="AV128" s="9"/>
      <c r="AW128"/>
      <c r="AX128" s="9"/>
      <c r="AY128" s="9"/>
      <c r="AZ128" s="9"/>
      <c r="BA128" s="9"/>
      <c r="BB128" s="9"/>
      <c r="BC128" s="9"/>
      <c r="BD128" s="9"/>
      <c r="BE128"/>
      <c r="BF128" s="9"/>
    </row>
    <row r="129" spans="1:58" s="13" customFormat="1" x14ac:dyDescent="0.25">
      <c r="A129"/>
      <c r="B129"/>
      <c r="C129"/>
      <c r="D129"/>
      <c r="E129" s="41"/>
      <c r="F129"/>
      <c r="H129" s="112"/>
      <c r="J129" s="174"/>
      <c r="K129"/>
      <c r="M129"/>
      <c r="O129" s="112"/>
      <c r="Q129"/>
      <c r="R129" s="46"/>
      <c r="S129" s="46"/>
      <c r="T129" s="30"/>
      <c r="U129" s="41"/>
      <c r="V129"/>
      <c r="X129" s="112"/>
      <c r="Z129"/>
      <c r="AA129"/>
      <c r="AB129"/>
      <c r="AD129" s="112"/>
      <c r="AF129"/>
      <c r="AH129"/>
      <c r="AI129"/>
      <c r="AM129"/>
      <c r="AN129" s="9"/>
      <c r="AO129"/>
      <c r="AP129" s="9"/>
      <c r="AQ129"/>
      <c r="AR129" s="9"/>
      <c r="AS129"/>
      <c r="AT129" s="9"/>
      <c r="AU129" s="9"/>
      <c r="AV129" s="9"/>
      <c r="AW129"/>
      <c r="AX129" s="9"/>
      <c r="AY129" s="9"/>
      <c r="AZ129" s="9"/>
      <c r="BA129" s="9"/>
      <c r="BB129" s="9"/>
      <c r="BC129" s="9"/>
      <c r="BD129" s="9"/>
      <c r="BE129"/>
      <c r="BF129" s="9"/>
    </row>
    <row r="130" spans="1:58" s="13" customFormat="1" x14ac:dyDescent="0.25">
      <c r="A130"/>
      <c r="B130"/>
      <c r="C130"/>
      <c r="D130"/>
      <c r="E130" s="41"/>
      <c r="F130"/>
      <c r="H130" s="112"/>
      <c r="J130" s="174"/>
      <c r="K130"/>
      <c r="M130"/>
      <c r="O130" s="112"/>
      <c r="Q130"/>
      <c r="R130" s="46"/>
      <c r="S130" s="46"/>
      <c r="T130" s="30"/>
      <c r="U130" s="41"/>
      <c r="V130"/>
      <c r="X130" s="112"/>
      <c r="Z130"/>
      <c r="AA130"/>
      <c r="AB130"/>
      <c r="AD130" s="112"/>
      <c r="AF130"/>
      <c r="AH130"/>
      <c r="AI130"/>
      <c r="AM130"/>
      <c r="AN130" s="9"/>
      <c r="AO130"/>
      <c r="AP130" s="9"/>
      <c r="AQ130"/>
      <c r="AR130" s="9"/>
      <c r="AS130"/>
      <c r="AT130" s="9"/>
      <c r="AU130" s="9"/>
      <c r="AV130" s="9"/>
      <c r="AW130"/>
      <c r="AX130" s="9"/>
      <c r="AY130" s="9"/>
      <c r="AZ130" s="9"/>
      <c r="BA130" s="9"/>
      <c r="BB130" s="9"/>
      <c r="BC130" s="9"/>
      <c r="BD130" s="9"/>
      <c r="BE130"/>
      <c r="BF130" s="9"/>
    </row>
    <row r="131" spans="1:58" s="13" customFormat="1" x14ac:dyDescent="0.25">
      <c r="A131"/>
      <c r="B131"/>
      <c r="C131"/>
      <c r="D131"/>
      <c r="E131" s="41"/>
      <c r="F131"/>
      <c r="H131" s="112"/>
      <c r="J131" s="174"/>
      <c r="K131"/>
      <c r="M131"/>
      <c r="O131" s="112"/>
      <c r="Q131"/>
      <c r="R131" s="46"/>
      <c r="S131" s="46"/>
      <c r="T131" s="30"/>
      <c r="U131" s="41"/>
      <c r="V131"/>
      <c r="X131" s="112"/>
      <c r="Z131"/>
      <c r="AA131"/>
      <c r="AB131"/>
      <c r="AD131" s="112"/>
      <c r="AF131"/>
      <c r="AH131"/>
      <c r="AI131"/>
      <c r="AM131"/>
      <c r="AN131" s="9"/>
      <c r="AO131"/>
      <c r="AP131" s="9"/>
      <c r="AQ131"/>
      <c r="AR131" s="9"/>
      <c r="AS131"/>
      <c r="AT131" s="9"/>
      <c r="AU131" s="9"/>
      <c r="AV131" s="9"/>
      <c r="AW131"/>
      <c r="AX131" s="9"/>
      <c r="AY131" s="9"/>
      <c r="AZ131" s="9"/>
      <c r="BA131" s="9"/>
      <c r="BB131" s="9"/>
      <c r="BC131" s="9"/>
      <c r="BD131" s="9"/>
      <c r="BE131"/>
      <c r="BF131" s="9"/>
    </row>
    <row r="132" spans="1:58" s="13" customFormat="1" x14ac:dyDescent="0.25">
      <c r="A132"/>
      <c r="B132"/>
      <c r="C132"/>
      <c r="D132"/>
      <c r="E132" s="41"/>
      <c r="F132"/>
      <c r="H132" s="112"/>
      <c r="J132" s="174"/>
      <c r="K132"/>
      <c r="M132"/>
      <c r="O132" s="112"/>
      <c r="Q132"/>
      <c r="R132" s="46"/>
      <c r="S132" s="46"/>
      <c r="T132" s="30"/>
      <c r="U132" s="41"/>
      <c r="V132"/>
      <c r="Z132"/>
      <c r="AA132"/>
      <c r="AB132"/>
      <c r="AF132"/>
      <c r="AH132"/>
      <c r="AI132"/>
      <c r="AM132"/>
      <c r="AN132" s="9"/>
      <c r="AO132"/>
      <c r="AP132" s="9"/>
      <c r="AQ132"/>
      <c r="AR132" s="9"/>
      <c r="AS132"/>
      <c r="AT132" s="9"/>
      <c r="AU132" s="9"/>
      <c r="AV132" s="9"/>
      <c r="AW132"/>
      <c r="AX132" s="9"/>
      <c r="AY132" s="9"/>
      <c r="AZ132" s="9"/>
      <c r="BA132" s="9"/>
      <c r="BB132" s="9"/>
      <c r="BC132" s="9"/>
      <c r="BD132" s="9"/>
      <c r="BE132"/>
      <c r="BF132" s="9"/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X147"/>
  <sheetViews>
    <sheetView zoomScaleNormal="100" workbookViewId="0">
      <pane xSplit="5" ySplit="6" topLeftCell="F78" activePane="bottomRight" state="frozen"/>
      <selection pane="topRight" activeCell="F1" sqref="F1"/>
      <selection pane="bottomLeft" activeCell="A7" sqref="A7"/>
      <selection pane="bottomRight" activeCell="A106" sqref="A106"/>
    </sheetView>
  </sheetViews>
  <sheetFormatPr defaultColWidth="8.85546875" defaultRowHeight="15" x14ac:dyDescent="0.25"/>
  <cols>
    <col min="1" max="1" width="3" bestFit="1" customWidth="1"/>
    <col min="2" max="2" width="8" bestFit="1" customWidth="1"/>
    <col min="6" max="6" width="7" style="30" customWidth="1"/>
    <col min="7" max="7" width="7" style="53" customWidth="1"/>
    <col min="8" max="8" width="7" style="30" customWidth="1"/>
    <col min="9" max="9" width="7" style="210" customWidth="1"/>
    <col min="10" max="11" width="7" style="30" customWidth="1"/>
    <col min="12" max="12" width="7" style="210" customWidth="1"/>
    <col min="14" max="14" width="8.85546875" style="41"/>
    <col min="15" max="15" width="8.85546875" style="30"/>
    <col min="16" max="16" width="8.85546875" style="241"/>
    <col min="17" max="17" width="8.85546875" style="13"/>
    <col min="18" max="18" width="8.85546875" style="41"/>
    <col min="19" max="19" width="8.85546875" style="46"/>
    <col min="20" max="22" width="8.85546875" style="41"/>
    <col min="24" max="24" width="8.85546875" style="13"/>
    <col min="25" max="25" width="8.85546875" style="112"/>
    <col min="26" max="26" width="8.85546875" style="13"/>
    <col min="27" max="27" width="8.85546875" style="147"/>
    <col min="28" max="28" width="8.85546875" style="41"/>
    <col min="30" max="30" width="8.140625" bestFit="1" customWidth="1"/>
    <col min="31" max="32" width="8.85546875" style="13"/>
    <col min="33" max="33" width="8.85546875" style="147"/>
    <col min="34" max="34" width="8.85546875" style="41"/>
    <col min="35" max="35" width="8.85546875" style="46"/>
    <col min="36" max="36" width="8.85546875" style="30"/>
    <col min="37" max="37" width="8.85546875" style="41"/>
    <col min="38" max="39" width="8.85546875" style="13"/>
    <col min="40" max="40" width="8.85546875" style="41"/>
    <col min="43" max="43" width="8.85546875" style="46"/>
    <col min="44" max="45" width="8.85546875" style="13"/>
    <col min="46" max="46" width="8.85546875" style="41"/>
    <col min="47" max="47" width="8.85546875" style="13"/>
    <col min="50" max="51" width="8.85546875" style="13"/>
    <col min="52" max="52" width="8.85546875" style="41"/>
    <col min="53" max="56" width="8.85546875" style="13"/>
    <col min="58" max="58" width="8.85546875" style="9"/>
    <col min="60" max="60" width="8.85546875" style="9"/>
    <col min="62" max="62" width="8.85546875" style="9"/>
    <col min="64" max="66" width="8.85546875" style="9"/>
    <col min="68" max="74" width="8.85546875" style="9"/>
    <col min="76" max="76" width="8.85546875" style="9"/>
  </cols>
  <sheetData>
    <row r="1" spans="1:76" x14ac:dyDescent="0.25">
      <c r="B1" s="214" t="s">
        <v>224</v>
      </c>
      <c r="C1" s="227" t="s">
        <v>225</v>
      </c>
      <c r="D1" s="197" t="s">
        <v>234</v>
      </c>
      <c r="E1" s="198" t="s">
        <v>253</v>
      </c>
    </row>
    <row r="2" spans="1:76" x14ac:dyDescent="0.25">
      <c r="B2" s="197" t="s">
        <v>226</v>
      </c>
      <c r="C2" s="228" t="s">
        <v>227</v>
      </c>
      <c r="D2" s="196" t="s">
        <v>235</v>
      </c>
      <c r="E2" s="199" t="s">
        <v>254</v>
      </c>
    </row>
    <row r="3" spans="1:76" x14ac:dyDescent="0.25">
      <c r="B3" s="214" t="s">
        <v>228</v>
      </c>
      <c r="C3" s="204" t="s">
        <v>229</v>
      </c>
      <c r="D3" s="201" t="s">
        <v>236</v>
      </c>
      <c r="E3" s="202" t="s">
        <v>255</v>
      </c>
    </row>
    <row r="4" spans="1:76" s="192" customFormat="1" x14ac:dyDescent="0.25">
      <c r="B4" s="200" t="s">
        <v>230</v>
      </c>
      <c r="C4" s="228" t="s">
        <v>231</v>
      </c>
      <c r="D4" s="196" t="s">
        <v>237</v>
      </c>
      <c r="E4" s="226" t="s">
        <v>256</v>
      </c>
      <c r="G4" s="199"/>
      <c r="I4" s="193"/>
      <c r="L4" s="193"/>
      <c r="P4" s="239"/>
      <c r="R4" s="236"/>
      <c r="T4" s="239"/>
      <c r="U4" s="239"/>
      <c r="V4" s="239"/>
      <c r="X4" s="239"/>
      <c r="Y4" s="244"/>
      <c r="AA4" s="253"/>
      <c r="AB4" s="193"/>
      <c r="AD4" s="202"/>
      <c r="AE4" s="235"/>
      <c r="AF4" s="235"/>
      <c r="AG4" s="175"/>
      <c r="AH4" s="236"/>
      <c r="AK4" s="239"/>
      <c r="AL4" s="239"/>
      <c r="AN4" s="236"/>
      <c r="AQ4" s="193"/>
      <c r="AT4" s="236"/>
      <c r="AX4" s="239"/>
      <c r="AY4" s="239"/>
      <c r="AZ4" s="236"/>
      <c r="BF4" s="194"/>
      <c r="BH4" s="194"/>
      <c r="BJ4" s="194"/>
      <c r="BL4" s="194"/>
      <c r="BM4" s="194"/>
      <c r="BN4" s="194"/>
      <c r="BP4" s="194"/>
      <c r="BQ4" s="194"/>
      <c r="BR4" s="194"/>
      <c r="BS4" s="194"/>
      <c r="BT4" s="194"/>
      <c r="BU4" s="194"/>
      <c r="BV4" s="194"/>
      <c r="BX4" s="194"/>
    </row>
    <row r="5" spans="1:76" s="192" customFormat="1" x14ac:dyDescent="0.25">
      <c r="B5" s="196" t="s">
        <v>232</v>
      </c>
      <c r="C5" s="204" t="s">
        <v>233</v>
      </c>
      <c r="D5" s="199"/>
      <c r="E5" s="199"/>
      <c r="F5" s="379" t="s">
        <v>250</v>
      </c>
      <c r="G5" s="379"/>
      <c r="H5" s="379"/>
      <c r="I5" s="379"/>
      <c r="J5" s="379"/>
      <c r="K5" s="379"/>
      <c r="L5" s="379"/>
      <c r="M5" s="379" t="s">
        <v>251</v>
      </c>
      <c r="N5" s="379"/>
      <c r="O5" s="379"/>
      <c r="P5" s="379"/>
      <c r="Q5" s="379"/>
      <c r="R5" s="379"/>
      <c r="S5" s="379" t="s">
        <v>244</v>
      </c>
      <c r="T5" s="379"/>
      <c r="U5" s="379"/>
      <c r="V5" s="379"/>
      <c r="W5" s="379" t="s">
        <v>252</v>
      </c>
      <c r="X5" s="379"/>
      <c r="Y5" s="379"/>
      <c r="Z5" s="379"/>
      <c r="AA5" s="379"/>
      <c r="AB5" s="379"/>
      <c r="AC5" s="379" t="s">
        <v>246</v>
      </c>
      <c r="AD5" s="379"/>
      <c r="AE5" s="379"/>
      <c r="AF5" s="379"/>
      <c r="AG5" s="379"/>
      <c r="AH5" s="379"/>
      <c r="AI5" s="379" t="s">
        <v>248</v>
      </c>
      <c r="AJ5" s="379"/>
      <c r="AK5" s="379"/>
      <c r="AL5" s="379"/>
      <c r="AM5" s="379"/>
      <c r="AN5" s="379"/>
      <c r="AO5" s="379" t="s">
        <v>2</v>
      </c>
      <c r="AP5" s="379"/>
      <c r="AQ5" s="379"/>
      <c r="AR5" s="379"/>
      <c r="AS5" s="379"/>
      <c r="AT5" s="379"/>
      <c r="AU5" s="379"/>
      <c r="AV5" s="379" t="s">
        <v>249</v>
      </c>
      <c r="AW5" s="379"/>
      <c r="AX5" s="379"/>
      <c r="AY5" s="379"/>
      <c r="AZ5" s="379"/>
      <c r="BF5" s="194"/>
      <c r="BH5" s="194"/>
      <c r="BJ5" s="194"/>
      <c r="BL5" s="194"/>
      <c r="BM5" s="194"/>
      <c r="BN5" s="194"/>
      <c r="BP5" s="194"/>
      <c r="BQ5" s="194"/>
      <c r="BR5" s="194"/>
      <c r="BS5" s="194"/>
      <c r="BT5" s="194"/>
      <c r="BU5" s="194"/>
      <c r="BV5" s="194"/>
      <c r="BX5" s="194"/>
    </row>
    <row r="6" spans="1:76" s="6" customFormat="1" x14ac:dyDescent="0.25">
      <c r="F6" s="6" t="s">
        <v>239</v>
      </c>
      <c r="G6" s="10" t="s">
        <v>240</v>
      </c>
      <c r="H6" s="6" t="s">
        <v>247</v>
      </c>
      <c r="I6" s="118" t="s">
        <v>244</v>
      </c>
      <c r="J6" s="6" t="s">
        <v>243</v>
      </c>
      <c r="K6" s="6" t="s">
        <v>7</v>
      </c>
      <c r="L6" s="118" t="s">
        <v>242</v>
      </c>
      <c r="M6" s="7" t="s">
        <v>1</v>
      </c>
      <c r="N6" s="40" t="s">
        <v>4</v>
      </c>
      <c r="O6" s="191" t="s">
        <v>7</v>
      </c>
      <c r="P6" s="229" t="s">
        <v>4</v>
      </c>
      <c r="Q6" s="12" t="s">
        <v>148</v>
      </c>
      <c r="R6" s="231" t="s">
        <v>100</v>
      </c>
      <c r="S6" s="82" t="s">
        <v>100</v>
      </c>
      <c r="T6" s="230" t="s">
        <v>7</v>
      </c>
      <c r="U6" s="230" t="s">
        <v>8</v>
      </c>
      <c r="V6" s="230" t="s">
        <v>148</v>
      </c>
      <c r="W6" s="6" t="s">
        <v>238</v>
      </c>
      <c r="X6" s="12" t="s">
        <v>4</v>
      </c>
      <c r="Y6" s="6" t="s">
        <v>7</v>
      </c>
      <c r="Z6" s="12" t="s">
        <v>4</v>
      </c>
      <c r="AA6" s="109" t="s">
        <v>148</v>
      </c>
      <c r="AB6" s="231" t="s">
        <v>100</v>
      </c>
      <c r="AC6" s="10" t="s">
        <v>8</v>
      </c>
      <c r="AD6" s="10" t="s">
        <v>7</v>
      </c>
      <c r="AE6" s="232" t="s">
        <v>4</v>
      </c>
      <c r="AF6" s="232" t="s">
        <v>7</v>
      </c>
      <c r="AG6" s="252" t="s">
        <v>148</v>
      </c>
      <c r="AH6" s="231" t="s">
        <v>100</v>
      </c>
      <c r="AI6" s="82" t="s">
        <v>8</v>
      </c>
      <c r="AJ6" s="191" t="s">
        <v>7</v>
      </c>
      <c r="AK6" s="40" t="s">
        <v>4</v>
      </c>
      <c r="AL6" s="12" t="s">
        <v>7</v>
      </c>
      <c r="AM6" s="12" t="s">
        <v>148</v>
      </c>
      <c r="AN6" s="231" t="s">
        <v>100</v>
      </c>
      <c r="AO6" s="12" t="s">
        <v>8</v>
      </c>
      <c r="AP6" s="6" t="s">
        <v>7</v>
      </c>
      <c r="AQ6" s="118" t="s">
        <v>100</v>
      </c>
      <c r="AR6" s="12" t="s">
        <v>7</v>
      </c>
      <c r="AS6" s="12" t="s">
        <v>148</v>
      </c>
      <c r="AT6" s="40" t="s">
        <v>20</v>
      </c>
      <c r="AU6" s="111" t="s">
        <v>8</v>
      </c>
      <c r="AV6" s="10" t="s">
        <v>8</v>
      </c>
      <c r="AW6" s="10" t="s">
        <v>7</v>
      </c>
      <c r="AX6" s="232" t="s">
        <v>7</v>
      </c>
      <c r="AY6" s="232" t="s">
        <v>148</v>
      </c>
      <c r="AZ6" s="231" t="s">
        <v>100</v>
      </c>
      <c r="BA6" s="12" t="s">
        <v>100</v>
      </c>
      <c r="BB6" s="12" t="s">
        <v>8</v>
      </c>
      <c r="BC6" s="6" t="s">
        <v>25</v>
      </c>
      <c r="BD6" s="6" t="s">
        <v>22</v>
      </c>
      <c r="BE6" s="7" t="s">
        <v>9</v>
      </c>
      <c r="BF6" s="9" t="s">
        <v>5</v>
      </c>
      <c r="BG6" s="6" t="s">
        <v>153</v>
      </c>
      <c r="BH6" s="9" t="s">
        <v>5</v>
      </c>
      <c r="BI6" s="6" t="s">
        <v>154</v>
      </c>
      <c r="BJ6" s="9" t="s">
        <v>5</v>
      </c>
      <c r="BK6" s="6" t="s">
        <v>39</v>
      </c>
      <c r="BL6" s="9" t="s">
        <v>5</v>
      </c>
      <c r="BM6" s="6" t="s">
        <v>155</v>
      </c>
      <c r="BN6" s="9" t="s">
        <v>5</v>
      </c>
      <c r="BO6" s="6" t="s">
        <v>152</v>
      </c>
      <c r="BP6" s="9" t="s">
        <v>5</v>
      </c>
      <c r="BQ6" s="6" t="s">
        <v>157</v>
      </c>
      <c r="BR6" s="9" t="s">
        <v>5</v>
      </c>
      <c r="BS6" s="6" t="s">
        <v>156</v>
      </c>
      <c r="BT6" s="9" t="s">
        <v>5</v>
      </c>
      <c r="BU6" s="6" t="s">
        <v>158</v>
      </c>
      <c r="BV6" s="9" t="s">
        <v>5</v>
      </c>
      <c r="BW6" s="6" t="s">
        <v>159</v>
      </c>
      <c r="BX6" s="37" t="s">
        <v>5</v>
      </c>
    </row>
    <row r="7" spans="1:76" x14ac:dyDescent="0.25">
      <c r="B7" s="237" t="s">
        <v>0</v>
      </c>
      <c r="C7" s="238">
        <v>42219</v>
      </c>
      <c r="D7" s="81"/>
      <c r="E7" s="81"/>
      <c r="F7" s="205" t="s">
        <v>241</v>
      </c>
      <c r="G7" s="205"/>
      <c r="H7" s="206"/>
      <c r="I7" s="208"/>
      <c r="J7" s="206"/>
      <c r="K7" s="206"/>
      <c r="L7" s="208"/>
      <c r="M7" s="203">
        <v>2.7777777777777776E-2</v>
      </c>
      <c r="N7" s="52">
        <v>2.7777777777777776E-2</v>
      </c>
      <c r="O7" s="211" t="s">
        <v>225</v>
      </c>
      <c r="P7" s="240">
        <v>0.21319444444444444</v>
      </c>
      <c r="Q7" s="147"/>
      <c r="R7" s="223">
        <v>7.81</v>
      </c>
      <c r="S7" s="59"/>
      <c r="T7" s="54"/>
      <c r="U7" s="54"/>
      <c r="V7" s="54"/>
      <c r="W7" s="203"/>
      <c r="AB7" s="223"/>
      <c r="AC7" s="11"/>
      <c r="AD7" s="11"/>
      <c r="AE7" s="50"/>
      <c r="AF7" s="50"/>
      <c r="AG7" s="157"/>
      <c r="AH7" s="223"/>
      <c r="AI7" s="216"/>
      <c r="AJ7" s="195"/>
      <c r="AM7" s="159"/>
      <c r="AN7" s="223"/>
      <c r="AR7" s="147"/>
      <c r="AS7" s="147"/>
      <c r="AU7" s="220"/>
      <c r="AV7" s="11"/>
      <c r="AW7" s="11"/>
      <c r="AX7" s="50"/>
      <c r="AY7" s="50"/>
      <c r="AZ7" s="223"/>
      <c r="BA7" s="41">
        <f t="shared" ref="BA7:BA38" si="0">R7+S7+AB7+AH7+AN7+AQ7+AT7+AZ7</f>
        <v>7.81</v>
      </c>
      <c r="BB7" s="63">
        <f t="shared" ref="BB7:BB38" si="1">N7+U7+X7+AE7+AK7+AO7+AU7+AV7</f>
        <v>2.7777777777777776E-2</v>
      </c>
      <c r="BC7" s="59"/>
      <c r="BD7"/>
      <c r="BE7" s="3">
        <v>80.599999999999994</v>
      </c>
      <c r="BG7">
        <v>91</v>
      </c>
      <c r="BI7">
        <v>98</v>
      </c>
      <c r="BK7">
        <v>101</v>
      </c>
      <c r="BM7">
        <v>60</v>
      </c>
      <c r="BO7">
        <v>59</v>
      </c>
      <c r="BQ7">
        <v>41.5</v>
      </c>
      <c r="BS7">
        <v>42</v>
      </c>
      <c r="BU7">
        <v>31.5</v>
      </c>
      <c r="BW7">
        <v>33</v>
      </c>
      <c r="BX7" s="39"/>
    </row>
    <row r="8" spans="1:76" x14ac:dyDescent="0.25">
      <c r="B8" s="237" t="s">
        <v>24</v>
      </c>
      <c r="C8" s="238">
        <v>42220</v>
      </c>
      <c r="D8" s="81"/>
      <c r="E8" s="81"/>
      <c r="F8" s="206"/>
      <c r="G8" s="206"/>
      <c r="H8" s="205" t="s">
        <v>241</v>
      </c>
      <c r="I8" s="208" t="s">
        <v>245</v>
      </c>
      <c r="J8" s="206"/>
      <c r="K8" s="206"/>
      <c r="L8" s="208" t="s">
        <v>150</v>
      </c>
      <c r="M8" s="3"/>
      <c r="N8" s="52"/>
      <c r="O8" s="211"/>
      <c r="P8" s="240"/>
      <c r="Q8" s="147"/>
      <c r="R8" s="223"/>
      <c r="S8" s="59">
        <v>0.3</v>
      </c>
      <c r="T8" s="240">
        <v>0.17222222222222225</v>
      </c>
      <c r="U8" s="14">
        <v>8.564814814814815E-4</v>
      </c>
      <c r="V8" s="54"/>
      <c r="W8" s="203">
        <v>2.0833333333333332E-2</v>
      </c>
      <c r="X8" s="14">
        <v>2.0856481481481479E-2</v>
      </c>
      <c r="Y8" s="245" t="s">
        <v>225</v>
      </c>
      <c r="Z8" s="14">
        <v>0.21527777777777779</v>
      </c>
      <c r="AB8" s="223">
        <f>2.9+2.92</f>
        <v>5.82</v>
      </c>
      <c r="AC8" s="51"/>
      <c r="AD8" s="51"/>
      <c r="AE8" s="50"/>
      <c r="AF8" s="50"/>
      <c r="AG8" s="157"/>
      <c r="AH8" s="223"/>
      <c r="AI8" s="216"/>
      <c r="AJ8" s="195"/>
      <c r="AM8" s="159"/>
      <c r="AN8" s="223"/>
      <c r="AO8" s="234">
        <v>1.7685185185185182E-2</v>
      </c>
      <c r="AP8" t="s">
        <v>259</v>
      </c>
      <c r="AQ8" s="46">
        <v>6</v>
      </c>
      <c r="AR8" s="14">
        <v>0.17708333333333334</v>
      </c>
      <c r="AS8" s="147"/>
      <c r="AT8" s="41">
        <f>2.4+1.46</f>
        <v>3.86</v>
      </c>
      <c r="AU8" s="233">
        <v>1.6770833333333332E-2</v>
      </c>
      <c r="AV8" s="11"/>
      <c r="AW8" s="11"/>
      <c r="AX8" s="50"/>
      <c r="AY8" s="50"/>
      <c r="AZ8" s="223"/>
      <c r="BA8" s="41">
        <f t="shared" si="0"/>
        <v>15.98</v>
      </c>
      <c r="BB8" s="63">
        <f t="shared" si="1"/>
        <v>5.6168981481481473E-2</v>
      </c>
      <c r="BC8" s="59"/>
      <c r="BD8"/>
      <c r="BE8" s="3"/>
      <c r="BM8"/>
      <c r="BQ8"/>
      <c r="BS8"/>
      <c r="BU8"/>
      <c r="BX8" s="37"/>
    </row>
    <row r="9" spans="1:76" x14ac:dyDescent="0.25">
      <c r="A9" s="25">
        <v>1</v>
      </c>
      <c r="B9" s="237" t="s">
        <v>15</v>
      </c>
      <c r="C9" s="238">
        <v>42221</v>
      </c>
      <c r="D9" s="81"/>
      <c r="E9" s="81"/>
      <c r="F9" s="206"/>
      <c r="G9" s="206"/>
      <c r="H9" s="206" t="s">
        <v>241</v>
      </c>
      <c r="I9" s="208"/>
      <c r="J9" s="206" t="s">
        <v>241</v>
      </c>
      <c r="K9" s="206"/>
      <c r="L9" s="208"/>
      <c r="M9" s="3"/>
      <c r="N9" s="52"/>
      <c r="O9" s="211"/>
      <c r="P9" s="240"/>
      <c r="Q9" s="147"/>
      <c r="R9" s="223"/>
      <c r="S9" s="59"/>
      <c r="T9" s="54"/>
      <c r="U9" s="54"/>
      <c r="V9" s="54"/>
      <c r="W9" s="203">
        <v>2.7777777777777776E-2</v>
      </c>
      <c r="X9" s="14">
        <v>2.9525462962962962E-2</v>
      </c>
      <c r="Y9" s="245" t="s">
        <v>225</v>
      </c>
      <c r="Z9" s="14">
        <v>0.21527777777777779</v>
      </c>
      <c r="AB9" s="223">
        <v>8.25</v>
      </c>
      <c r="AC9" s="51">
        <v>6.9444444444444441E-3</v>
      </c>
      <c r="AD9" s="211" t="s">
        <v>229</v>
      </c>
      <c r="AE9" s="52">
        <v>6.9444444444444441E-3</v>
      </c>
      <c r="AF9" s="52">
        <v>0.17986111111111111</v>
      </c>
      <c r="AG9" s="157"/>
      <c r="AH9" s="223">
        <v>2.31</v>
      </c>
      <c r="AI9" s="216"/>
      <c r="AJ9" s="195"/>
      <c r="AL9" s="14"/>
      <c r="AM9" s="159"/>
      <c r="AN9" s="223"/>
      <c r="AR9" s="147"/>
      <c r="AS9" s="147"/>
      <c r="AU9" s="220"/>
      <c r="AV9" s="11"/>
      <c r="AW9" s="11"/>
      <c r="AX9" s="50"/>
      <c r="AY9" s="50"/>
      <c r="AZ9" s="223"/>
      <c r="BA9" s="41">
        <f t="shared" si="0"/>
        <v>10.56</v>
      </c>
      <c r="BB9" s="63">
        <f t="shared" si="1"/>
        <v>3.6469907407407409E-2</v>
      </c>
      <c r="BC9" s="59"/>
      <c r="BD9"/>
      <c r="BE9" s="3"/>
      <c r="BM9"/>
      <c r="BQ9"/>
      <c r="BS9"/>
      <c r="BU9"/>
      <c r="BX9" s="37"/>
    </row>
    <row r="10" spans="1:76" x14ac:dyDescent="0.25">
      <c r="A10" s="25">
        <v>32</v>
      </c>
      <c r="B10" s="237" t="s">
        <v>26</v>
      </c>
      <c r="C10" s="238">
        <v>42222</v>
      </c>
      <c r="D10" s="81"/>
      <c r="E10" s="81"/>
      <c r="F10" s="206"/>
      <c r="G10" s="206"/>
      <c r="H10" s="206" t="s">
        <v>241</v>
      </c>
      <c r="I10" s="208"/>
      <c r="J10" s="206"/>
      <c r="K10" s="206" t="s">
        <v>241</v>
      </c>
      <c r="L10" s="208"/>
      <c r="M10" s="3"/>
      <c r="N10" s="52"/>
      <c r="O10" s="211"/>
      <c r="P10" s="240"/>
      <c r="Q10" s="147"/>
      <c r="R10" s="223"/>
      <c r="S10" s="59"/>
      <c r="T10" s="54"/>
      <c r="U10" s="54"/>
      <c r="V10" s="54"/>
      <c r="W10" s="203">
        <v>2.7777777777777776E-2</v>
      </c>
      <c r="X10" s="14">
        <v>2.7777777777777776E-2</v>
      </c>
      <c r="Y10" s="245" t="s">
        <v>225</v>
      </c>
      <c r="Z10" s="14">
        <v>0.21319444444444444</v>
      </c>
      <c r="AB10" s="223">
        <v>7.83</v>
      </c>
      <c r="AC10" s="26"/>
      <c r="AD10" s="26"/>
      <c r="AE10" s="64"/>
      <c r="AF10" s="64"/>
      <c r="AG10" s="157"/>
      <c r="AH10" s="223"/>
      <c r="AI10" s="217">
        <v>1.0416666666666666E-2</v>
      </c>
      <c r="AJ10" s="30" t="s">
        <v>259</v>
      </c>
      <c r="AK10" s="52">
        <v>1.0416666666666666E-2</v>
      </c>
      <c r="AL10" s="14">
        <v>0.17222222222222225</v>
      </c>
      <c r="AM10" s="159"/>
      <c r="AN10" s="223">
        <v>3.64</v>
      </c>
      <c r="AR10" s="147"/>
      <c r="AS10" s="147"/>
      <c r="AU10" s="220"/>
      <c r="AV10" s="11"/>
      <c r="AW10" s="11"/>
      <c r="AX10" s="50"/>
      <c r="AY10" s="50"/>
      <c r="AZ10" s="223"/>
      <c r="BA10" s="41">
        <f t="shared" si="0"/>
        <v>11.47</v>
      </c>
      <c r="BB10" s="63">
        <f t="shared" si="1"/>
        <v>3.8194444444444441E-2</v>
      </c>
      <c r="BC10" s="59"/>
      <c r="BD10"/>
      <c r="BE10" s="3"/>
      <c r="BM10"/>
      <c r="BQ10"/>
      <c r="BS10"/>
      <c r="BU10"/>
      <c r="BX10" s="37"/>
    </row>
    <row r="11" spans="1:76" x14ac:dyDescent="0.25">
      <c r="A11" s="25"/>
      <c r="B11" s="237" t="s">
        <v>29</v>
      </c>
      <c r="C11" s="238">
        <v>42223</v>
      </c>
      <c r="D11" s="81"/>
      <c r="E11" s="81"/>
      <c r="F11" s="206" t="s">
        <v>241</v>
      </c>
      <c r="G11" s="206"/>
      <c r="H11" s="206"/>
      <c r="I11" s="208"/>
      <c r="J11" s="206"/>
      <c r="K11" s="206"/>
      <c r="L11" s="208"/>
      <c r="M11" s="203">
        <v>2.0833333333333332E-2</v>
      </c>
      <c r="N11" s="52">
        <v>2.2013888888888888E-2</v>
      </c>
      <c r="O11" s="211" t="s">
        <v>225</v>
      </c>
      <c r="P11" s="240">
        <v>0.22361111111111109</v>
      </c>
      <c r="Q11" s="147"/>
      <c r="R11" s="223">
        <v>5.9</v>
      </c>
      <c r="S11" s="59"/>
      <c r="T11" s="54"/>
      <c r="U11" s="54"/>
      <c r="V11" s="54"/>
      <c r="W11" s="3"/>
      <c r="X11" s="14"/>
      <c r="Y11" s="245"/>
      <c r="Z11" s="14"/>
      <c r="AB11" s="223"/>
      <c r="AC11" s="26"/>
      <c r="AD11" s="26"/>
      <c r="AE11" s="64"/>
      <c r="AF11" s="64"/>
      <c r="AG11" s="157"/>
      <c r="AH11" s="223"/>
      <c r="AI11" s="216"/>
      <c r="AJ11" s="195"/>
      <c r="AL11" s="14"/>
      <c r="AM11" s="159"/>
      <c r="AN11" s="223"/>
      <c r="AR11" s="147"/>
      <c r="AS11" s="147"/>
      <c r="AU11" s="220"/>
      <c r="AV11" s="11"/>
      <c r="AW11" s="11"/>
      <c r="AX11" s="50"/>
      <c r="AY11" s="50"/>
      <c r="AZ11" s="223"/>
      <c r="BA11" s="41">
        <f t="shared" si="0"/>
        <v>5.9</v>
      </c>
      <c r="BB11" s="63">
        <f t="shared" si="1"/>
        <v>2.2013888888888888E-2</v>
      </c>
      <c r="BC11" s="59"/>
      <c r="BD11"/>
      <c r="BE11" s="3"/>
      <c r="BM11"/>
      <c r="BQ11"/>
      <c r="BS11"/>
      <c r="BU11"/>
      <c r="BX11" s="37"/>
    </row>
    <row r="12" spans="1:76" x14ac:dyDescent="0.25">
      <c r="A12" s="25"/>
      <c r="B12" s="237" t="s">
        <v>18</v>
      </c>
      <c r="C12" s="238">
        <v>42224</v>
      </c>
      <c r="D12" s="81"/>
      <c r="E12" s="81"/>
      <c r="F12" s="206"/>
      <c r="G12" s="206"/>
      <c r="H12" s="206" t="s">
        <v>241</v>
      </c>
      <c r="I12" s="208" t="s">
        <v>245</v>
      </c>
      <c r="J12" s="206"/>
      <c r="K12" s="206" t="s">
        <v>241</v>
      </c>
      <c r="L12" s="208" t="s">
        <v>17</v>
      </c>
      <c r="M12" s="203"/>
      <c r="N12" s="52"/>
      <c r="O12" s="211"/>
      <c r="P12" s="240"/>
      <c r="Q12" s="147"/>
      <c r="R12" s="223"/>
      <c r="S12" s="59">
        <v>0.3</v>
      </c>
      <c r="T12" s="240">
        <v>0.15138888888888888</v>
      </c>
      <c r="U12" s="14">
        <v>7.6388888888888893E-4</v>
      </c>
      <c r="V12" s="54"/>
      <c r="W12" s="203">
        <v>2.0833333333333332E-2</v>
      </c>
      <c r="X12" s="14">
        <v>2.0856481481481479E-2</v>
      </c>
      <c r="Y12" s="245" t="s">
        <v>225</v>
      </c>
      <c r="Z12" s="14">
        <v>0.21458333333333335</v>
      </c>
      <c r="AB12" s="223">
        <v>5.83</v>
      </c>
      <c r="AC12" s="26"/>
      <c r="AD12" s="26"/>
      <c r="AE12" s="64"/>
      <c r="AF12" s="64"/>
      <c r="AG12" s="157"/>
      <c r="AH12" s="223"/>
      <c r="AI12" s="216"/>
      <c r="AJ12" s="195" t="s">
        <v>257</v>
      </c>
      <c r="AK12" s="52">
        <v>5.7986111111111112E-3</v>
      </c>
      <c r="AL12" s="14">
        <v>0.17361111111111113</v>
      </c>
      <c r="AM12" s="147">
        <v>163</v>
      </c>
      <c r="AN12" s="223">
        <f>1.5+0.5</f>
        <v>2</v>
      </c>
      <c r="AO12" s="234">
        <v>1.3553240740740741E-2</v>
      </c>
      <c r="AP12" s="2" t="s">
        <v>233</v>
      </c>
      <c r="AQ12" s="46">
        <v>4.8</v>
      </c>
      <c r="AR12" s="14">
        <v>0.16944444444444443</v>
      </c>
      <c r="AS12" s="147">
        <v>163</v>
      </c>
      <c r="AT12" s="41">
        <f>2.4+0.96+1.51</f>
        <v>4.87</v>
      </c>
      <c r="AU12" s="233">
        <v>2.0590277777777777E-2</v>
      </c>
      <c r="AV12" s="11"/>
      <c r="AW12" s="11"/>
      <c r="AX12" s="50"/>
      <c r="AY12" s="50"/>
      <c r="AZ12" s="223"/>
      <c r="BA12" s="41">
        <f t="shared" si="0"/>
        <v>17.8</v>
      </c>
      <c r="BB12" s="63">
        <f t="shared" si="1"/>
        <v>6.1562499999999999E-2</v>
      </c>
      <c r="BC12" s="59"/>
      <c r="BD12"/>
      <c r="BE12" s="3"/>
      <c r="BM12"/>
      <c r="BQ12"/>
      <c r="BS12"/>
      <c r="BU12"/>
      <c r="BX12" s="37"/>
    </row>
    <row r="13" spans="1:76" x14ac:dyDescent="0.25">
      <c r="A13" s="18"/>
      <c r="B13" s="248" t="s">
        <v>27</v>
      </c>
      <c r="C13" s="249">
        <v>42225</v>
      </c>
      <c r="D13" s="85"/>
      <c r="E13" s="85"/>
      <c r="F13" s="207"/>
      <c r="G13" s="207" t="s">
        <v>241</v>
      </c>
      <c r="H13" s="207" t="s">
        <v>241</v>
      </c>
      <c r="I13" s="209"/>
      <c r="J13" s="207"/>
      <c r="K13" s="207"/>
      <c r="L13" s="209"/>
      <c r="M13" s="19"/>
      <c r="N13" s="22"/>
      <c r="O13" s="212"/>
      <c r="P13" s="242"/>
      <c r="Q13" s="156"/>
      <c r="R13" s="224"/>
      <c r="S13" s="57"/>
      <c r="T13" s="42"/>
      <c r="U13" s="42"/>
      <c r="V13" s="42"/>
      <c r="W13" s="222">
        <v>2.4305555555555556E-2</v>
      </c>
      <c r="X13" s="22">
        <v>2.7789351851851853E-2</v>
      </c>
      <c r="Y13" s="246" t="s">
        <v>225</v>
      </c>
      <c r="Z13" s="22">
        <v>0.21111111111111111</v>
      </c>
      <c r="AA13" s="156"/>
      <c r="AB13" s="224">
        <v>7.87</v>
      </c>
      <c r="AC13" s="18"/>
      <c r="AD13" s="18"/>
      <c r="AE13" s="20"/>
      <c r="AF13" s="20"/>
      <c r="AG13" s="156"/>
      <c r="AH13" s="224"/>
      <c r="AI13" s="218"/>
      <c r="AJ13" s="219"/>
      <c r="AK13" s="42"/>
      <c r="AL13" s="20"/>
      <c r="AM13" s="160"/>
      <c r="AN13" s="224"/>
      <c r="AO13" s="18"/>
      <c r="AP13" s="18"/>
      <c r="AQ13" s="57"/>
      <c r="AR13" s="156"/>
      <c r="AS13" s="156"/>
      <c r="AT13" s="42"/>
      <c r="AU13" s="221"/>
      <c r="AV13" s="21">
        <v>2.7777777777777776E-2</v>
      </c>
      <c r="AW13" s="18" t="s">
        <v>261</v>
      </c>
      <c r="AX13" s="22">
        <v>0.1875</v>
      </c>
      <c r="AY13" s="20">
        <v>155</v>
      </c>
      <c r="AZ13" s="224">
        <v>8.93</v>
      </c>
      <c r="BA13" s="225">
        <f t="shared" si="0"/>
        <v>16.8</v>
      </c>
      <c r="BB13" s="58">
        <f t="shared" si="1"/>
        <v>5.5567129629629633E-2</v>
      </c>
      <c r="BC13" s="57">
        <f>SUM(BA7:BA13)</f>
        <v>86.32</v>
      </c>
      <c r="BD13" s="21">
        <f>SUM(BB7:BB13)</f>
        <v>0.29775462962962962</v>
      </c>
      <c r="BE13" s="19"/>
      <c r="BF13" s="36"/>
      <c r="BG13" s="18"/>
      <c r="BH13" s="36"/>
      <c r="BI13" s="18"/>
      <c r="BJ13" s="36"/>
      <c r="BK13" s="18"/>
      <c r="BL13" s="36"/>
      <c r="BM13" s="18"/>
      <c r="BN13" s="36"/>
      <c r="BO13" s="18"/>
      <c r="BP13" s="36"/>
      <c r="BQ13" s="18"/>
      <c r="BR13" s="36"/>
      <c r="BS13" s="18"/>
      <c r="BT13" s="36"/>
      <c r="BU13" s="18"/>
      <c r="BV13" s="36"/>
      <c r="BW13" s="18"/>
      <c r="BX13" s="38"/>
    </row>
    <row r="14" spans="1:76" x14ac:dyDescent="0.25">
      <c r="B14" s="237" t="s">
        <v>0</v>
      </c>
      <c r="C14" s="238">
        <v>42226</v>
      </c>
      <c r="D14" s="81"/>
      <c r="E14" s="81"/>
      <c r="F14" s="206" t="s">
        <v>241</v>
      </c>
      <c r="G14" s="206"/>
      <c r="H14" s="206"/>
      <c r="I14" s="208"/>
      <c r="J14" s="206"/>
      <c r="K14" s="206"/>
      <c r="L14" s="208"/>
      <c r="M14" s="203">
        <v>2.7777777777777776E-2</v>
      </c>
      <c r="N14" s="52">
        <v>2.7777777777777776E-2</v>
      </c>
      <c r="O14" s="211" t="s">
        <v>225</v>
      </c>
      <c r="P14" s="240">
        <v>0.21666666666666667</v>
      </c>
      <c r="Q14" s="147"/>
      <c r="R14" s="223">
        <v>7.7</v>
      </c>
      <c r="S14" s="59"/>
      <c r="T14" s="54"/>
      <c r="U14" s="54"/>
      <c r="V14" s="54"/>
      <c r="W14" s="3"/>
      <c r="X14" s="14"/>
      <c r="Y14" s="245"/>
      <c r="Z14" s="14"/>
      <c r="AB14" s="223"/>
      <c r="AC14" s="26"/>
      <c r="AD14" s="26"/>
      <c r="AE14" s="64"/>
      <c r="AF14" s="64"/>
      <c r="AG14" s="157"/>
      <c r="AH14" s="223"/>
      <c r="AI14" s="26"/>
      <c r="AL14" s="14"/>
      <c r="AM14" s="147"/>
      <c r="AN14" s="223"/>
      <c r="AR14" s="147"/>
      <c r="AS14" s="147"/>
      <c r="AU14" s="220"/>
      <c r="AV14" s="11"/>
      <c r="AW14" s="11"/>
      <c r="AX14" s="50"/>
      <c r="AY14" s="50"/>
      <c r="AZ14" s="223"/>
      <c r="BA14" s="41">
        <f t="shared" si="0"/>
        <v>7.7</v>
      </c>
      <c r="BB14" s="63">
        <f t="shared" si="1"/>
        <v>2.7777777777777776E-2</v>
      </c>
      <c r="BC14" s="59"/>
      <c r="BD14"/>
      <c r="BE14" s="3">
        <v>80.599999999999994</v>
      </c>
      <c r="BF14" s="9">
        <f>$BE$7-BE14</f>
        <v>0</v>
      </c>
      <c r="BG14">
        <v>90</v>
      </c>
      <c r="BH14" s="9">
        <f>$BG$7-BG14</f>
        <v>1</v>
      </c>
      <c r="BI14">
        <v>98</v>
      </c>
      <c r="BJ14" s="9">
        <f>$BI$7-BI14</f>
        <v>0</v>
      </c>
      <c r="BK14">
        <v>99</v>
      </c>
      <c r="BL14" s="9">
        <f>$BK$7-BK14</f>
        <v>2</v>
      </c>
      <c r="BM14">
        <v>58.5</v>
      </c>
      <c r="BN14" s="9">
        <f>$BM$7-BM14</f>
        <v>1.5</v>
      </c>
      <c r="BO14">
        <v>59</v>
      </c>
      <c r="BP14" s="9">
        <f>$BO$7-BO14</f>
        <v>0</v>
      </c>
      <c r="BQ14">
        <v>41</v>
      </c>
      <c r="BR14" s="9">
        <f>$BQ$7-BQ14</f>
        <v>0.5</v>
      </c>
      <c r="BS14">
        <v>41.5</v>
      </c>
      <c r="BT14" s="9">
        <f>$BS$7-BS14</f>
        <v>0.5</v>
      </c>
      <c r="BU14">
        <v>31.5</v>
      </c>
      <c r="BV14" s="9">
        <f>$BU$7-BU14</f>
        <v>0</v>
      </c>
      <c r="BW14">
        <v>33</v>
      </c>
      <c r="BX14" s="37">
        <f>$BW$7-BW14</f>
        <v>0</v>
      </c>
    </row>
    <row r="15" spans="1:76" x14ac:dyDescent="0.25">
      <c r="B15" s="237" t="s">
        <v>24</v>
      </c>
      <c r="C15" s="238">
        <v>42227</v>
      </c>
      <c r="D15" s="81"/>
      <c r="E15" s="81"/>
      <c r="F15" s="206"/>
      <c r="G15" s="206"/>
      <c r="H15" s="206" t="s">
        <v>241</v>
      </c>
      <c r="I15" s="208" t="s">
        <v>245</v>
      </c>
      <c r="J15" s="206"/>
      <c r="K15" s="206"/>
      <c r="L15" s="208" t="s">
        <v>258</v>
      </c>
      <c r="M15" s="3"/>
      <c r="N15" s="52"/>
      <c r="O15" s="211"/>
      <c r="P15" s="240"/>
      <c r="Q15" s="147"/>
      <c r="R15" s="223"/>
      <c r="S15" s="59">
        <v>0.3</v>
      </c>
      <c r="T15" s="240">
        <v>0.15625</v>
      </c>
      <c r="U15" s="14">
        <v>7.9861111111111105E-4</v>
      </c>
      <c r="V15" s="54"/>
      <c r="W15" s="203">
        <v>2.0833333333333332E-2</v>
      </c>
      <c r="X15" s="14">
        <v>2.1423611111111112E-2</v>
      </c>
      <c r="Y15" s="245" t="s">
        <v>225</v>
      </c>
      <c r="Z15" s="14">
        <v>0.21388888888888891</v>
      </c>
      <c r="AB15" s="223">
        <v>6.01</v>
      </c>
      <c r="AC15" s="26"/>
      <c r="AD15" s="26"/>
      <c r="AE15" s="64"/>
      <c r="AF15" s="64"/>
      <c r="AG15" s="157"/>
      <c r="AH15" s="223"/>
      <c r="AI15" s="26"/>
      <c r="AL15" s="14"/>
      <c r="AM15" s="147"/>
      <c r="AN15" s="223"/>
      <c r="AO15" s="234">
        <v>2.2303240740740738E-2</v>
      </c>
      <c r="AP15" t="s">
        <v>259</v>
      </c>
      <c r="AQ15" s="46">
        <v>7.5</v>
      </c>
      <c r="AR15" s="14">
        <v>0.17847222222222223</v>
      </c>
      <c r="AS15" s="147"/>
      <c r="AT15" s="41">
        <f>3+1.49</f>
        <v>4.49</v>
      </c>
      <c r="AU15" s="233">
        <v>1.8576388888888889E-2</v>
      </c>
      <c r="AV15" s="11"/>
      <c r="AW15" s="11"/>
      <c r="AX15" s="50"/>
      <c r="AY15" s="50"/>
      <c r="AZ15" s="223"/>
      <c r="BA15" s="41">
        <f t="shared" si="0"/>
        <v>18.299999999999997</v>
      </c>
      <c r="BB15" s="63">
        <f t="shared" si="1"/>
        <v>6.3101851851851853E-2</v>
      </c>
      <c r="BC15" s="59"/>
      <c r="BD15"/>
      <c r="BE15" s="3"/>
      <c r="BM15"/>
      <c r="BQ15"/>
      <c r="BS15"/>
      <c r="BU15"/>
      <c r="BX15" s="37"/>
    </row>
    <row r="16" spans="1:76" x14ac:dyDescent="0.25">
      <c r="A16" s="6">
        <v>2</v>
      </c>
      <c r="B16" s="237" t="s">
        <v>26</v>
      </c>
      <c r="C16" s="238">
        <v>42229</v>
      </c>
      <c r="D16" s="81"/>
      <c r="E16" s="81"/>
      <c r="F16" s="206"/>
      <c r="G16" s="206"/>
      <c r="H16" s="206" t="s">
        <v>241</v>
      </c>
      <c r="I16" s="208"/>
      <c r="J16" s="206" t="s">
        <v>241</v>
      </c>
      <c r="K16" s="206"/>
      <c r="L16" s="208"/>
      <c r="M16" s="3"/>
      <c r="N16" s="52"/>
      <c r="O16" s="211"/>
      <c r="P16" s="240"/>
      <c r="Q16" s="147"/>
      <c r="R16" s="223"/>
      <c r="S16" s="59"/>
      <c r="T16" s="54"/>
      <c r="U16" s="54"/>
      <c r="V16" s="54"/>
      <c r="W16" s="203">
        <v>2.7777777777777776E-2</v>
      </c>
      <c r="X16" s="14">
        <v>2.0844907407407406E-2</v>
      </c>
      <c r="Y16" s="245" t="s">
        <v>225</v>
      </c>
      <c r="Z16" s="14">
        <v>0.20972222222222223</v>
      </c>
      <c r="AA16" s="147">
        <v>143</v>
      </c>
      <c r="AB16" s="223">
        <v>5.95</v>
      </c>
      <c r="AC16" s="51">
        <v>1.0416666666666666E-2</v>
      </c>
      <c r="AD16" s="211" t="s">
        <v>229</v>
      </c>
      <c r="AE16" s="52">
        <v>1.0416666666666666E-2</v>
      </c>
      <c r="AF16" s="52">
        <v>0.1875</v>
      </c>
      <c r="AG16" s="157">
        <v>156</v>
      </c>
      <c r="AH16" s="223">
        <v>3.34</v>
      </c>
      <c r="AI16" s="26"/>
      <c r="AL16" s="14"/>
      <c r="AM16" s="147"/>
      <c r="AN16" s="223"/>
      <c r="AR16" s="147"/>
      <c r="AS16" s="147"/>
      <c r="AU16" s="220"/>
      <c r="AV16" s="11"/>
      <c r="AW16" s="11"/>
      <c r="AX16" s="50"/>
      <c r="AY16" s="50"/>
      <c r="AZ16" s="223"/>
      <c r="BA16" s="41">
        <f t="shared" si="0"/>
        <v>9.2899999999999991</v>
      </c>
      <c r="BB16" s="63">
        <f t="shared" si="1"/>
        <v>3.1261574074074074E-2</v>
      </c>
      <c r="BC16" s="59"/>
      <c r="BD16"/>
      <c r="BE16" s="3"/>
      <c r="BM16"/>
      <c r="BQ16"/>
      <c r="BS16"/>
      <c r="BU16"/>
      <c r="BX16" s="37"/>
    </row>
    <row r="17" spans="1:76" x14ac:dyDescent="0.25">
      <c r="A17" s="6">
        <v>33</v>
      </c>
      <c r="B17" s="237" t="s">
        <v>15</v>
      </c>
      <c r="C17" s="238">
        <v>42228</v>
      </c>
      <c r="D17" s="81"/>
      <c r="E17" s="81"/>
      <c r="F17" s="206"/>
      <c r="G17" s="206"/>
      <c r="H17" s="206" t="s">
        <v>241</v>
      </c>
      <c r="I17" s="208"/>
      <c r="J17" s="206"/>
      <c r="K17" s="206" t="s">
        <v>241</v>
      </c>
      <c r="L17" s="208"/>
      <c r="M17" s="3"/>
      <c r="N17" s="52"/>
      <c r="O17" s="211"/>
      <c r="P17" s="240"/>
      <c r="Q17" s="147"/>
      <c r="R17" s="223"/>
      <c r="S17" s="59"/>
      <c r="T17" s="54"/>
      <c r="U17" s="54"/>
      <c r="V17" s="54"/>
      <c r="W17" s="203">
        <v>2.7777777777777776E-2</v>
      </c>
      <c r="X17" s="14">
        <v>2.7777777777777776E-2</v>
      </c>
      <c r="Y17" s="245" t="s">
        <v>225</v>
      </c>
      <c r="Z17" s="14">
        <v>0.21736111111111112</v>
      </c>
      <c r="AA17" s="147">
        <v>137</v>
      </c>
      <c r="AB17" s="223">
        <v>7.65</v>
      </c>
      <c r="AC17" s="26"/>
      <c r="AD17" s="26"/>
      <c r="AE17" s="64"/>
      <c r="AF17" s="64"/>
      <c r="AG17" s="157"/>
      <c r="AH17" s="223"/>
      <c r="AI17" s="217">
        <v>1.3888888888888888E-2</v>
      </c>
      <c r="AJ17" s="30" t="s">
        <v>259</v>
      </c>
      <c r="AK17" s="52">
        <v>1.3888888888888888E-2</v>
      </c>
      <c r="AL17" s="14">
        <v>0.18541666666666667</v>
      </c>
      <c r="AM17" s="147">
        <v>154</v>
      </c>
      <c r="AN17" s="223">
        <v>4.49</v>
      </c>
      <c r="AR17" s="147"/>
      <c r="AS17" s="147"/>
      <c r="AU17" s="220"/>
      <c r="AV17" s="11"/>
      <c r="AW17" s="11"/>
      <c r="AX17" s="50"/>
      <c r="AY17" s="50"/>
      <c r="AZ17" s="223"/>
      <c r="BA17" s="41">
        <f t="shared" si="0"/>
        <v>12.14</v>
      </c>
      <c r="BB17" s="63">
        <f t="shared" si="1"/>
        <v>4.1666666666666664E-2</v>
      </c>
      <c r="BC17" s="59"/>
      <c r="BD17"/>
      <c r="BE17" s="3"/>
      <c r="BM17"/>
      <c r="BQ17"/>
      <c r="BS17"/>
      <c r="BU17"/>
      <c r="BX17" s="37"/>
    </row>
    <row r="18" spans="1:76" x14ac:dyDescent="0.25">
      <c r="A18" s="6"/>
      <c r="B18" s="237" t="s">
        <v>29</v>
      </c>
      <c r="C18" s="238">
        <v>42230</v>
      </c>
      <c r="D18" s="81"/>
      <c r="E18" s="81"/>
      <c r="F18" s="206" t="s">
        <v>241</v>
      </c>
      <c r="G18" s="206"/>
      <c r="H18" s="206"/>
      <c r="I18" s="208"/>
      <c r="J18" s="206"/>
      <c r="K18" s="206"/>
      <c r="L18" s="208"/>
      <c r="M18" s="203">
        <v>2.0833333333333332E-2</v>
      </c>
      <c r="N18" s="52">
        <v>2.5659722222222223E-2</v>
      </c>
      <c r="O18" s="211" t="s">
        <v>225</v>
      </c>
      <c r="P18" s="240">
        <v>0.20625000000000002</v>
      </c>
      <c r="Q18" s="147">
        <v>147</v>
      </c>
      <c r="R18" s="223">
        <v>7.47</v>
      </c>
      <c r="S18" s="59"/>
      <c r="T18" s="54"/>
      <c r="U18" s="54"/>
      <c r="V18" s="54"/>
      <c r="W18" s="3"/>
      <c r="X18" s="14"/>
      <c r="Y18" s="245"/>
      <c r="Z18" s="14"/>
      <c r="AB18" s="223"/>
      <c r="AC18" s="26"/>
      <c r="AD18" s="26"/>
      <c r="AE18" s="64"/>
      <c r="AF18" s="64"/>
      <c r="AG18" s="157"/>
      <c r="AH18" s="223"/>
      <c r="AI18" s="26"/>
      <c r="AL18" s="14"/>
      <c r="AM18" s="147"/>
      <c r="AN18" s="223"/>
      <c r="AR18" s="147"/>
      <c r="AS18" s="147"/>
      <c r="AU18" s="220"/>
      <c r="AV18" s="11"/>
      <c r="AW18" s="11"/>
      <c r="AX18" s="50"/>
      <c r="AY18" s="50"/>
      <c r="AZ18" s="223"/>
      <c r="BA18" s="41">
        <f t="shared" si="0"/>
        <v>7.47</v>
      </c>
      <c r="BB18" s="63">
        <f t="shared" si="1"/>
        <v>2.5659722222222223E-2</v>
      </c>
      <c r="BC18" s="59"/>
      <c r="BD18"/>
      <c r="BE18" s="3"/>
      <c r="BM18"/>
      <c r="BQ18"/>
      <c r="BS18"/>
      <c r="BU18"/>
      <c r="BX18" s="37"/>
    </row>
    <row r="19" spans="1:76" x14ac:dyDescent="0.25">
      <c r="A19" s="6"/>
      <c r="B19" s="237" t="s">
        <v>27</v>
      </c>
      <c r="C19" s="238">
        <v>42232</v>
      </c>
      <c r="D19" s="81"/>
      <c r="E19" s="81"/>
      <c r="F19" s="206"/>
      <c r="G19" s="206"/>
      <c r="H19" s="206" t="s">
        <v>241</v>
      </c>
      <c r="I19" s="208" t="s">
        <v>245</v>
      </c>
      <c r="J19" s="206"/>
      <c r="K19" s="206" t="s">
        <v>241</v>
      </c>
      <c r="L19" s="208" t="s">
        <v>260</v>
      </c>
      <c r="M19" s="203"/>
      <c r="N19" s="52"/>
      <c r="O19" s="211"/>
      <c r="P19" s="240"/>
      <c r="Q19" s="147"/>
      <c r="R19" s="223"/>
      <c r="S19" s="59">
        <v>0.3</v>
      </c>
      <c r="T19" s="240">
        <v>0.14722222222222223</v>
      </c>
      <c r="U19" s="14">
        <v>7.0601851851851847E-4</v>
      </c>
      <c r="V19" s="54"/>
      <c r="W19" s="203">
        <v>2.0833333333333332E-2</v>
      </c>
      <c r="X19" s="14">
        <v>1.4583333333333332E-2</v>
      </c>
      <c r="Y19" s="245" t="s">
        <v>225</v>
      </c>
      <c r="Z19" s="14">
        <v>0.21180555555555555</v>
      </c>
      <c r="AB19" s="223">
        <f>4.13+0.99</f>
        <v>5.12</v>
      </c>
      <c r="AC19" s="26"/>
      <c r="AD19" s="26"/>
      <c r="AE19" s="64"/>
      <c r="AF19" s="64"/>
      <c r="AG19" s="157"/>
      <c r="AH19" s="223"/>
      <c r="AI19" s="26"/>
      <c r="AJ19" s="195" t="s">
        <v>257</v>
      </c>
      <c r="AK19" s="52">
        <v>5.9259259259259256E-3</v>
      </c>
      <c r="AL19" s="14">
        <v>0.17361111111111113</v>
      </c>
      <c r="AM19" s="147"/>
      <c r="AN19" s="223">
        <f>1.5+0.5</f>
        <v>2</v>
      </c>
      <c r="AO19" s="234">
        <v>1.9710648148148147E-2</v>
      </c>
      <c r="AP19" s="2" t="s">
        <v>233</v>
      </c>
      <c r="AQ19" s="46">
        <v>5.6</v>
      </c>
      <c r="AR19" s="14">
        <v>0.16874999999999998</v>
      </c>
      <c r="AS19" s="147"/>
      <c r="AT19" s="41">
        <f>2.8+1.56</f>
        <v>4.3599999999999994</v>
      </c>
      <c r="AU19" s="233">
        <v>1.9155092592592592E-2</v>
      </c>
      <c r="AV19" s="26"/>
      <c r="AW19" s="26"/>
      <c r="AX19" s="64"/>
      <c r="AY19" s="64"/>
      <c r="AZ19" s="223"/>
      <c r="BA19" s="41">
        <f t="shared" si="0"/>
        <v>17.38</v>
      </c>
      <c r="BB19" s="63">
        <f t="shared" si="1"/>
        <v>6.0081018518518513E-2</v>
      </c>
      <c r="BC19" s="59"/>
      <c r="BD19"/>
      <c r="BE19" s="3"/>
      <c r="BM19"/>
      <c r="BQ19"/>
      <c r="BS19"/>
      <c r="BU19"/>
      <c r="BX19" s="37"/>
    </row>
    <row r="20" spans="1:76" x14ac:dyDescent="0.25">
      <c r="A20" s="56"/>
      <c r="B20" s="248" t="s">
        <v>0</v>
      </c>
      <c r="C20" s="249">
        <v>42233</v>
      </c>
      <c r="D20" s="85"/>
      <c r="E20" s="85"/>
      <c r="F20" s="207"/>
      <c r="G20" s="207" t="s">
        <v>241</v>
      </c>
      <c r="H20" s="207"/>
      <c r="I20" s="209"/>
      <c r="J20" s="207"/>
      <c r="K20" s="207"/>
      <c r="L20" s="209"/>
      <c r="M20" s="19"/>
      <c r="N20" s="22"/>
      <c r="O20" s="212"/>
      <c r="P20" s="242"/>
      <c r="Q20" s="156"/>
      <c r="R20" s="224"/>
      <c r="S20" s="57"/>
      <c r="T20" s="42"/>
      <c r="U20" s="42"/>
      <c r="V20" s="42"/>
      <c r="W20" s="222">
        <v>2.7777777777777776E-2</v>
      </c>
      <c r="X20" s="22">
        <v>2.946759259259259E-2</v>
      </c>
      <c r="Y20" s="246" t="s">
        <v>225</v>
      </c>
      <c r="Z20" s="22">
        <v>0.21180555555555555</v>
      </c>
      <c r="AA20" s="156"/>
      <c r="AB20" s="224">
        <v>8.35</v>
      </c>
      <c r="AC20" s="18"/>
      <c r="AD20" s="18"/>
      <c r="AE20" s="20"/>
      <c r="AF20" s="20"/>
      <c r="AG20" s="156"/>
      <c r="AH20" s="224"/>
      <c r="AI20" s="84"/>
      <c r="AJ20" s="31"/>
      <c r="AK20" s="42"/>
      <c r="AL20" s="22"/>
      <c r="AM20" s="156"/>
      <c r="AN20" s="224"/>
      <c r="AO20" s="18"/>
      <c r="AP20" s="18"/>
      <c r="AQ20" s="57"/>
      <c r="AR20" s="156"/>
      <c r="AS20" s="156"/>
      <c r="AT20" s="42"/>
      <c r="AU20" s="221"/>
      <c r="AV20" s="21">
        <v>2.7777777777777776E-2</v>
      </c>
      <c r="AW20" s="18" t="s">
        <v>261</v>
      </c>
      <c r="AX20" s="22">
        <v>0.1875</v>
      </c>
      <c r="AY20" s="20"/>
      <c r="AZ20" s="224">
        <v>8.8000000000000007</v>
      </c>
      <c r="BA20" s="225">
        <f t="shared" si="0"/>
        <v>17.149999999999999</v>
      </c>
      <c r="BB20" s="58">
        <f t="shared" si="1"/>
        <v>5.7245370370370363E-2</v>
      </c>
      <c r="BC20" s="57">
        <f>SUM(BA14:BA20)</f>
        <v>89.429999999999978</v>
      </c>
      <c r="BD20" s="21">
        <f>SUM(BB14:BB20)</f>
        <v>0.30679398148148151</v>
      </c>
      <c r="BE20" s="19"/>
      <c r="BF20" s="36"/>
      <c r="BG20" s="18"/>
      <c r="BH20" s="36"/>
      <c r="BI20" s="18"/>
      <c r="BJ20" s="36"/>
      <c r="BK20" s="18"/>
      <c r="BL20" s="36"/>
      <c r="BM20" s="18"/>
      <c r="BN20" s="36"/>
      <c r="BO20" s="18"/>
      <c r="BP20" s="36"/>
      <c r="BQ20" s="18"/>
      <c r="BR20" s="36"/>
      <c r="BS20" s="18"/>
      <c r="BT20" s="36"/>
      <c r="BU20" s="18"/>
      <c r="BV20" s="36"/>
      <c r="BW20" s="18"/>
      <c r="BX20" s="38"/>
    </row>
    <row r="21" spans="1:76" x14ac:dyDescent="0.25">
      <c r="B21" s="1"/>
      <c r="C21" s="81"/>
      <c r="D21" s="81"/>
      <c r="E21" s="81"/>
      <c r="F21" s="206"/>
      <c r="G21" s="206"/>
      <c r="H21" s="206"/>
      <c r="I21" s="208"/>
      <c r="J21" s="206"/>
      <c r="K21" s="206"/>
      <c r="L21" s="208"/>
      <c r="M21" s="3"/>
      <c r="N21" s="52"/>
      <c r="O21" s="211"/>
      <c r="P21" s="240"/>
      <c r="Q21" s="147"/>
      <c r="R21" s="223"/>
      <c r="S21" s="59"/>
      <c r="T21" s="54"/>
      <c r="U21" s="54"/>
      <c r="V21" s="54"/>
      <c r="W21" s="3"/>
      <c r="X21" s="14"/>
      <c r="Y21" s="245"/>
      <c r="Z21" s="14"/>
      <c r="AB21" s="223"/>
      <c r="AC21" s="26"/>
      <c r="AD21" s="26"/>
      <c r="AE21" s="64"/>
      <c r="AF21" s="64"/>
      <c r="AG21" s="157"/>
      <c r="AH21" s="223"/>
      <c r="AI21" s="26"/>
      <c r="AL21" s="14"/>
      <c r="AM21" s="147"/>
      <c r="AN21" s="223"/>
      <c r="AR21" s="147"/>
      <c r="AS21" s="147"/>
      <c r="AU21" s="220"/>
      <c r="AV21" s="11"/>
      <c r="AW21" s="11"/>
      <c r="AX21" s="50"/>
      <c r="AY21" s="50"/>
      <c r="AZ21" s="223"/>
      <c r="BA21" s="41">
        <f t="shared" si="0"/>
        <v>0</v>
      </c>
      <c r="BB21" s="63">
        <f t="shared" si="1"/>
        <v>0</v>
      </c>
      <c r="BC21" s="59"/>
      <c r="BD21"/>
      <c r="BE21" s="3">
        <v>78.7</v>
      </c>
      <c r="BF21" s="9">
        <f>$BE$7-BE21</f>
        <v>1.8999999999999915</v>
      </c>
      <c r="BG21">
        <v>88</v>
      </c>
      <c r="BH21" s="9">
        <f>$BG$7-BG21</f>
        <v>3</v>
      </c>
      <c r="BI21">
        <v>97.5</v>
      </c>
      <c r="BJ21" s="9">
        <f>$BI$7-BI21</f>
        <v>0.5</v>
      </c>
      <c r="BK21">
        <v>97</v>
      </c>
      <c r="BL21" s="9">
        <f>$BK$7-BK21</f>
        <v>4</v>
      </c>
      <c r="BM21">
        <v>58.5</v>
      </c>
      <c r="BN21" s="9">
        <f>$BM$7-BM21</f>
        <v>1.5</v>
      </c>
      <c r="BO21">
        <v>57</v>
      </c>
      <c r="BP21" s="9">
        <f>$BO$7-BO21</f>
        <v>2</v>
      </c>
      <c r="BQ21">
        <v>42.5</v>
      </c>
      <c r="BR21" s="9">
        <f>$BQ$7-BQ21</f>
        <v>-1</v>
      </c>
      <c r="BS21">
        <v>42</v>
      </c>
      <c r="BT21" s="9">
        <f>$BS$7-BS21</f>
        <v>0</v>
      </c>
      <c r="BU21">
        <v>32.5</v>
      </c>
      <c r="BV21" s="9">
        <f>$BU$7-BU21</f>
        <v>-1</v>
      </c>
      <c r="BW21">
        <v>31</v>
      </c>
      <c r="BX21" s="37">
        <f>$BW$7-BW21</f>
        <v>2</v>
      </c>
    </row>
    <row r="22" spans="1:76" x14ac:dyDescent="0.25">
      <c r="B22" s="237" t="s">
        <v>24</v>
      </c>
      <c r="C22" s="238">
        <v>42234</v>
      </c>
      <c r="D22" s="238"/>
      <c r="E22" s="81"/>
      <c r="F22" s="206"/>
      <c r="G22" s="206"/>
      <c r="H22" s="206" t="s">
        <v>241</v>
      </c>
      <c r="I22" s="208" t="s">
        <v>245</v>
      </c>
      <c r="J22" s="206"/>
      <c r="K22" s="206"/>
      <c r="L22" s="208" t="s">
        <v>262</v>
      </c>
      <c r="M22" s="3"/>
      <c r="N22" s="52"/>
      <c r="O22" s="211"/>
      <c r="P22" s="240"/>
      <c r="Q22" s="147"/>
      <c r="R22" s="223"/>
      <c r="S22" s="59">
        <v>0.3</v>
      </c>
      <c r="T22" s="240">
        <v>0.14930555555555555</v>
      </c>
      <c r="U22" s="14">
        <v>7.7546296296296304E-4</v>
      </c>
      <c r="V22" s="157">
        <v>150</v>
      </c>
      <c r="W22" s="203">
        <v>2.0833333333333332E-2</v>
      </c>
      <c r="X22" s="14">
        <v>2.0856481481481479E-2</v>
      </c>
      <c r="Y22" s="245" t="s">
        <v>225</v>
      </c>
      <c r="Z22" s="14">
        <v>0.21041666666666667</v>
      </c>
      <c r="AA22" s="147">
        <v>142</v>
      </c>
      <c r="AB22" s="223">
        <v>5.95</v>
      </c>
      <c r="AC22" s="26"/>
      <c r="AD22" s="26"/>
      <c r="AE22" s="64"/>
      <c r="AF22" s="64"/>
      <c r="AG22" s="157"/>
      <c r="AH22" s="223"/>
      <c r="AI22" s="26"/>
      <c r="AL22" s="14"/>
      <c r="AM22" s="147"/>
      <c r="AN22" s="223"/>
      <c r="AO22" s="234">
        <v>2.6828703703703702E-2</v>
      </c>
      <c r="AP22" t="s">
        <v>259</v>
      </c>
      <c r="AQ22" s="46">
        <v>9</v>
      </c>
      <c r="AR22" s="14">
        <v>0.17847222222222223</v>
      </c>
      <c r="AS22" s="147">
        <v>160</v>
      </c>
      <c r="AT22" s="41">
        <f>3+1.57</f>
        <v>4.57</v>
      </c>
      <c r="AU22" s="233">
        <v>1.8391203703703705E-2</v>
      </c>
      <c r="AV22" s="11"/>
      <c r="AW22" s="11"/>
      <c r="AX22" s="50"/>
      <c r="AY22" s="50"/>
      <c r="AZ22" s="223"/>
      <c r="BA22" s="41">
        <f t="shared" si="0"/>
        <v>19.82</v>
      </c>
      <c r="BB22" s="63">
        <f t="shared" si="1"/>
        <v>6.6851851851851843E-2</v>
      </c>
      <c r="BC22" s="59"/>
      <c r="BD22"/>
      <c r="BE22" s="3"/>
      <c r="BM22"/>
      <c r="BQ22"/>
      <c r="BS22"/>
      <c r="BU22"/>
      <c r="BX22" s="37"/>
    </row>
    <row r="23" spans="1:76" x14ac:dyDescent="0.25">
      <c r="A23" s="6">
        <v>3</v>
      </c>
      <c r="B23" s="237" t="s">
        <v>26</v>
      </c>
      <c r="C23" s="238">
        <v>42236</v>
      </c>
      <c r="D23" s="81"/>
      <c r="E23" s="81"/>
      <c r="F23" s="206"/>
      <c r="G23" s="206"/>
      <c r="H23" s="206" t="s">
        <v>241</v>
      </c>
      <c r="I23" s="208"/>
      <c r="J23" s="206" t="s">
        <v>241</v>
      </c>
      <c r="K23" s="206"/>
      <c r="L23" s="208"/>
      <c r="M23" s="3"/>
      <c r="N23" s="52"/>
      <c r="O23" s="211"/>
      <c r="P23" s="240"/>
      <c r="Q23" s="147"/>
      <c r="R23" s="223"/>
      <c r="S23" s="59"/>
      <c r="T23" s="54"/>
      <c r="U23" s="54"/>
      <c r="V23" s="54"/>
      <c r="W23" s="203">
        <v>3.125E-2</v>
      </c>
      <c r="X23" s="14">
        <v>3.125E-2</v>
      </c>
      <c r="Y23" s="245" t="s">
        <v>225</v>
      </c>
      <c r="Z23" s="14">
        <v>0.20902777777777778</v>
      </c>
      <c r="AA23" s="147">
        <v>138</v>
      </c>
      <c r="AB23" s="223">
        <v>8.98</v>
      </c>
      <c r="AC23" s="51">
        <v>1.0416666666666666E-2</v>
      </c>
      <c r="AD23" s="211" t="s">
        <v>229</v>
      </c>
      <c r="AE23" s="52">
        <v>1.0416666666666666E-2</v>
      </c>
      <c r="AF23" s="52">
        <v>0.18472222222222223</v>
      </c>
      <c r="AG23" s="157">
        <v>151</v>
      </c>
      <c r="AH23" s="223">
        <v>3.38</v>
      </c>
      <c r="AI23" s="26"/>
      <c r="AL23" s="14"/>
      <c r="AM23" s="147"/>
      <c r="AN23" s="223"/>
      <c r="AR23" s="147"/>
      <c r="AS23" s="147"/>
      <c r="AU23" s="220"/>
      <c r="AV23" s="11"/>
      <c r="AW23" s="11"/>
      <c r="AX23" s="50"/>
      <c r="AY23" s="50"/>
      <c r="AZ23" s="223"/>
      <c r="BA23" s="41">
        <f t="shared" si="0"/>
        <v>12.36</v>
      </c>
      <c r="BB23" s="63">
        <f t="shared" si="1"/>
        <v>4.1666666666666664E-2</v>
      </c>
      <c r="BC23" s="59"/>
      <c r="BD23"/>
      <c r="BE23" s="3"/>
      <c r="BM23"/>
      <c r="BQ23"/>
      <c r="BS23"/>
      <c r="BU23"/>
      <c r="BX23" s="37"/>
    </row>
    <row r="24" spans="1:76" x14ac:dyDescent="0.25">
      <c r="A24" s="6">
        <v>34</v>
      </c>
      <c r="B24" s="237" t="s">
        <v>26</v>
      </c>
      <c r="C24" s="238">
        <v>42236</v>
      </c>
      <c r="D24" s="81"/>
      <c r="E24" s="81"/>
      <c r="F24" s="206"/>
      <c r="G24" s="206"/>
      <c r="H24" s="206" t="s">
        <v>241</v>
      </c>
      <c r="I24" s="208"/>
      <c r="J24" s="206"/>
      <c r="K24" s="206" t="s">
        <v>241</v>
      </c>
      <c r="L24" s="208"/>
      <c r="M24" s="3"/>
      <c r="N24" s="52"/>
      <c r="O24" s="211"/>
      <c r="P24" s="240"/>
      <c r="Q24" s="147"/>
      <c r="R24" s="223"/>
      <c r="S24" s="59"/>
      <c r="T24" s="54"/>
      <c r="U24" s="54"/>
      <c r="V24" s="54"/>
      <c r="W24" s="203">
        <v>2.7777777777777776E-2</v>
      </c>
      <c r="X24" s="14">
        <v>3.0555555555555555E-2</v>
      </c>
      <c r="Y24" s="245" t="s">
        <v>225</v>
      </c>
      <c r="Z24" s="14">
        <v>0.20694444444444446</v>
      </c>
      <c r="AA24" s="147">
        <v>144</v>
      </c>
      <c r="AB24" s="223">
        <v>8.89</v>
      </c>
      <c r="AC24" s="26"/>
      <c r="AD24" s="26"/>
      <c r="AE24" s="64"/>
      <c r="AF24" s="64"/>
      <c r="AG24" s="157"/>
      <c r="AH24" s="223"/>
      <c r="AI24" s="217">
        <v>1.7361111111111112E-2</v>
      </c>
      <c r="AJ24" s="30" t="s">
        <v>259</v>
      </c>
      <c r="AK24" s="52">
        <v>1.7361111111111112E-2</v>
      </c>
      <c r="AL24" s="14">
        <v>0.18819444444444444</v>
      </c>
      <c r="AM24" s="147">
        <v>154</v>
      </c>
      <c r="AN24" s="223">
        <v>5.54</v>
      </c>
      <c r="AR24" s="147"/>
      <c r="AS24" s="147"/>
      <c r="AU24" s="220"/>
      <c r="AV24" s="11"/>
      <c r="AW24" s="11"/>
      <c r="AX24" s="50"/>
      <c r="AY24" s="50"/>
      <c r="AZ24" s="223"/>
      <c r="BA24" s="41">
        <f t="shared" si="0"/>
        <v>14.43</v>
      </c>
      <c r="BB24" s="63">
        <f t="shared" si="1"/>
        <v>4.7916666666666663E-2</v>
      </c>
      <c r="BC24" s="59"/>
      <c r="BD24"/>
      <c r="BE24" s="3"/>
      <c r="BM24"/>
      <c r="BQ24"/>
      <c r="BS24"/>
      <c r="BU24"/>
      <c r="BX24" s="37"/>
    </row>
    <row r="25" spans="1:76" x14ac:dyDescent="0.25">
      <c r="A25" s="6"/>
      <c r="B25" s="1"/>
      <c r="C25" s="81"/>
      <c r="D25" s="81"/>
      <c r="E25" s="81"/>
      <c r="F25" s="206" t="s">
        <v>241</v>
      </c>
      <c r="G25" s="206"/>
      <c r="H25" s="206"/>
      <c r="I25" s="208"/>
      <c r="J25" s="206"/>
      <c r="K25" s="206"/>
      <c r="L25" s="208"/>
      <c r="M25" s="203">
        <v>2.0833333333333332E-2</v>
      </c>
      <c r="N25" s="52"/>
      <c r="O25" s="211" t="s">
        <v>225</v>
      </c>
      <c r="P25" s="240"/>
      <c r="Q25" s="147"/>
      <c r="R25" s="223"/>
      <c r="S25" s="59"/>
      <c r="T25" s="54"/>
      <c r="U25" s="54"/>
      <c r="V25" s="54"/>
      <c r="W25" s="3"/>
      <c r="X25" s="14"/>
      <c r="Y25" s="245"/>
      <c r="Z25" s="14"/>
      <c r="AB25" s="223"/>
      <c r="AC25" s="26"/>
      <c r="AD25" s="26"/>
      <c r="AE25" s="64"/>
      <c r="AF25" s="64"/>
      <c r="AG25" s="157"/>
      <c r="AH25" s="223"/>
      <c r="AI25" s="26"/>
      <c r="AL25" s="14"/>
      <c r="AM25" s="147"/>
      <c r="AN25" s="223"/>
      <c r="AR25" s="147"/>
      <c r="AS25" s="147"/>
      <c r="AU25" s="220"/>
      <c r="AV25" s="11"/>
      <c r="AW25" s="11"/>
      <c r="AX25" s="50"/>
      <c r="AY25" s="50"/>
      <c r="AZ25" s="223"/>
      <c r="BA25" s="41">
        <f t="shared" si="0"/>
        <v>0</v>
      </c>
      <c r="BB25" s="63">
        <f t="shared" si="1"/>
        <v>0</v>
      </c>
      <c r="BC25" s="59"/>
      <c r="BD25"/>
      <c r="BE25" s="3"/>
      <c r="BM25"/>
      <c r="BQ25"/>
      <c r="BS25"/>
      <c r="BU25"/>
      <c r="BX25" s="37"/>
    </row>
    <row r="26" spans="1:76" x14ac:dyDescent="0.25">
      <c r="A26" s="6"/>
      <c r="B26" s="237" t="s">
        <v>29</v>
      </c>
      <c r="C26" s="238">
        <v>42237</v>
      </c>
      <c r="D26" s="81" t="s">
        <v>125</v>
      </c>
      <c r="E26" s="81"/>
      <c r="F26" s="206"/>
      <c r="G26" s="206"/>
      <c r="H26" s="206" t="s">
        <v>241</v>
      </c>
      <c r="I26" s="208" t="s">
        <v>245</v>
      </c>
      <c r="J26" s="206"/>
      <c r="K26" s="206" t="s">
        <v>241</v>
      </c>
      <c r="L26" s="208" t="s">
        <v>263</v>
      </c>
      <c r="M26" s="3"/>
      <c r="N26" s="52"/>
      <c r="O26" s="211"/>
      <c r="P26" s="240"/>
      <c r="Q26" s="147"/>
      <c r="R26" s="223"/>
      <c r="S26" s="59">
        <v>0.3</v>
      </c>
      <c r="T26" s="240">
        <v>0.15208333333333332</v>
      </c>
      <c r="U26" s="14">
        <v>7.6388888888888893E-4</v>
      </c>
      <c r="V26" s="157">
        <v>148</v>
      </c>
      <c r="W26" s="203">
        <v>2.0833333333333332E-2</v>
      </c>
      <c r="X26" s="14">
        <v>2.0844907407407406E-2</v>
      </c>
      <c r="Y26" s="245" t="s">
        <v>225</v>
      </c>
      <c r="Z26" s="14">
        <v>0.21458333333333335</v>
      </c>
      <c r="AA26" s="147">
        <v>137</v>
      </c>
      <c r="AB26" s="223">
        <f>4.85+1</f>
        <v>5.85</v>
      </c>
      <c r="AC26" s="64"/>
      <c r="AD26" s="26" t="s">
        <v>259</v>
      </c>
      <c r="AE26" s="52">
        <v>4.4907407407407405E-3</v>
      </c>
      <c r="AF26" s="52">
        <v>0.17916666666666667</v>
      </c>
      <c r="AG26" s="157">
        <v>156</v>
      </c>
      <c r="AH26" s="223">
        <v>1.5</v>
      </c>
      <c r="AI26" s="26"/>
      <c r="AJ26" s="30" t="s">
        <v>233</v>
      </c>
      <c r="AK26" s="52">
        <v>1.3888888888888889E-3</v>
      </c>
      <c r="AL26" s="14">
        <v>0.1673611111111111</v>
      </c>
      <c r="AM26" s="147">
        <v>163</v>
      </c>
      <c r="AN26" s="223">
        <v>0.5</v>
      </c>
      <c r="AO26" s="234">
        <v>1.8020833333333333E-2</v>
      </c>
      <c r="AP26" s="2" t="s">
        <v>233</v>
      </c>
      <c r="AQ26" s="46">
        <v>6.4</v>
      </c>
      <c r="AR26" s="14">
        <v>0.21041666666666667</v>
      </c>
      <c r="AS26" s="147">
        <v>156</v>
      </c>
      <c r="AT26" s="41">
        <f>3.2+1.53</f>
        <v>4.7300000000000004</v>
      </c>
      <c r="AU26" s="233">
        <v>1.6400462962962964E-2</v>
      </c>
      <c r="AV26" s="11"/>
      <c r="AW26" s="11"/>
      <c r="AX26" s="50"/>
      <c r="AY26" s="50"/>
      <c r="AZ26" s="223"/>
      <c r="BA26" s="41">
        <f t="shared" si="0"/>
        <v>19.28</v>
      </c>
      <c r="BB26" s="63">
        <f t="shared" si="1"/>
        <v>6.190972222222222E-2</v>
      </c>
      <c r="BC26" s="59"/>
      <c r="BD26"/>
      <c r="BE26" s="3"/>
      <c r="BM26"/>
      <c r="BQ26"/>
      <c r="BS26"/>
      <c r="BU26"/>
      <c r="BX26" s="37"/>
    </row>
    <row r="27" spans="1:76" x14ac:dyDescent="0.25">
      <c r="A27" s="56"/>
      <c r="B27" s="248" t="s">
        <v>27</v>
      </c>
      <c r="C27" s="249">
        <v>42239</v>
      </c>
      <c r="D27" s="85" t="s">
        <v>268</v>
      </c>
      <c r="E27" s="85"/>
      <c r="F27" s="207"/>
      <c r="G27" s="207" t="s">
        <v>241</v>
      </c>
      <c r="H27" s="207"/>
      <c r="I27" s="209"/>
      <c r="J27" s="207"/>
      <c r="K27" s="207"/>
      <c r="L27" s="209"/>
      <c r="M27" s="19"/>
      <c r="N27" s="22"/>
      <c r="O27" s="212"/>
      <c r="P27" s="242"/>
      <c r="Q27" s="156"/>
      <c r="R27" s="224"/>
      <c r="S27" s="57"/>
      <c r="T27" s="42"/>
      <c r="U27" s="42"/>
      <c r="V27" s="42"/>
      <c r="W27" s="222">
        <v>1.7361111111111112E-2</v>
      </c>
      <c r="X27" s="250">
        <v>0.11289351851851852</v>
      </c>
      <c r="Y27" s="246" t="s">
        <v>225</v>
      </c>
      <c r="Z27" s="22">
        <v>0.20833333333333334</v>
      </c>
      <c r="AA27" s="156">
        <v>140</v>
      </c>
      <c r="AB27" s="224">
        <v>32.32</v>
      </c>
      <c r="AC27" s="18"/>
      <c r="AD27" s="18"/>
      <c r="AE27" s="20"/>
      <c r="AF27" s="20"/>
      <c r="AG27" s="156"/>
      <c r="AH27" s="224"/>
      <c r="AI27" s="84"/>
      <c r="AJ27" s="31"/>
      <c r="AK27" s="42"/>
      <c r="AL27" s="20"/>
      <c r="AM27" s="156"/>
      <c r="AN27" s="224"/>
      <c r="AO27" s="18"/>
      <c r="AP27" s="18"/>
      <c r="AQ27" s="57"/>
      <c r="AR27" s="156"/>
      <c r="AS27" s="156"/>
      <c r="AT27" s="42"/>
      <c r="AU27" s="221"/>
      <c r="AV27" s="21">
        <v>3.125E-2</v>
      </c>
      <c r="AW27" s="18" t="s">
        <v>261</v>
      </c>
      <c r="AX27" s="22">
        <v>0.19652777777777777</v>
      </c>
      <c r="AY27" s="20">
        <v>143</v>
      </c>
      <c r="AZ27" s="224">
        <v>9.6199999999999992</v>
      </c>
      <c r="BA27" s="225">
        <f t="shared" si="0"/>
        <v>41.94</v>
      </c>
      <c r="BB27" s="58">
        <f t="shared" si="1"/>
        <v>0.14414351851851853</v>
      </c>
      <c r="BC27" s="57">
        <f>SUM(BA21:BA27)</f>
        <v>107.83</v>
      </c>
      <c r="BD27" s="21">
        <f>SUM(BB21:BB27)</f>
        <v>0.36248842592592589</v>
      </c>
      <c r="BE27" s="19"/>
      <c r="BF27" s="36"/>
      <c r="BG27" s="18"/>
      <c r="BH27" s="36"/>
      <c r="BI27" s="18"/>
      <c r="BJ27" s="36"/>
      <c r="BK27" s="18"/>
      <c r="BL27" s="36"/>
      <c r="BM27" s="18"/>
      <c r="BN27" s="36"/>
      <c r="BO27" s="18"/>
      <c r="BP27" s="36"/>
      <c r="BQ27" s="18"/>
      <c r="BR27" s="36"/>
      <c r="BS27" s="18"/>
      <c r="BT27" s="36"/>
      <c r="BU27" s="18"/>
      <c r="BV27" s="36"/>
      <c r="BW27" s="18"/>
      <c r="BX27" s="38"/>
    </row>
    <row r="28" spans="1:76" x14ac:dyDescent="0.25">
      <c r="B28" s="1"/>
      <c r="C28" s="81"/>
      <c r="D28" s="81"/>
      <c r="E28" s="81"/>
      <c r="F28" s="206" t="s">
        <v>241</v>
      </c>
      <c r="G28" s="206"/>
      <c r="H28" s="206"/>
      <c r="I28" s="208"/>
      <c r="J28" s="206"/>
      <c r="K28" s="206"/>
      <c r="L28" s="208"/>
      <c r="M28" s="203">
        <v>2.7777777777777776E-2</v>
      </c>
      <c r="N28" s="52"/>
      <c r="O28" s="211" t="s">
        <v>225</v>
      </c>
      <c r="P28" s="240"/>
      <c r="Q28" s="147"/>
      <c r="R28" s="223"/>
      <c r="S28" s="59"/>
      <c r="T28" s="54"/>
      <c r="U28" s="54"/>
      <c r="V28" s="54"/>
      <c r="W28" s="3"/>
      <c r="X28" s="14"/>
      <c r="Y28" s="245"/>
      <c r="Z28" s="14"/>
      <c r="AB28" s="223"/>
      <c r="AC28" s="26"/>
      <c r="AD28" s="26"/>
      <c r="AE28" s="64"/>
      <c r="AF28" s="64"/>
      <c r="AG28" s="157"/>
      <c r="AH28" s="223"/>
      <c r="AI28" s="26"/>
      <c r="AL28" s="14"/>
      <c r="AM28" s="147"/>
      <c r="AN28" s="223"/>
      <c r="AR28" s="147"/>
      <c r="AS28" s="147"/>
      <c r="AU28" s="220"/>
      <c r="AV28" s="11"/>
      <c r="AW28" s="11"/>
      <c r="AX28" s="50"/>
      <c r="AY28" s="50"/>
      <c r="AZ28" s="223"/>
      <c r="BA28" s="41">
        <f t="shared" si="0"/>
        <v>0</v>
      </c>
      <c r="BB28" s="63">
        <f t="shared" si="1"/>
        <v>0</v>
      </c>
      <c r="BC28" s="59"/>
      <c r="BD28"/>
      <c r="BE28" s="3">
        <v>79.5</v>
      </c>
      <c r="BF28" s="9">
        <f>$BE$7-BE28</f>
        <v>1.0999999999999943</v>
      </c>
      <c r="BG28">
        <v>89</v>
      </c>
      <c r="BH28" s="9">
        <f>$BG$7-BG28</f>
        <v>2</v>
      </c>
      <c r="BI28">
        <v>97.5</v>
      </c>
      <c r="BJ28" s="9">
        <f>$BI$7-BI28</f>
        <v>0.5</v>
      </c>
      <c r="BK28">
        <v>97</v>
      </c>
      <c r="BL28" s="9">
        <f>$BK$7-BK28</f>
        <v>4</v>
      </c>
      <c r="BM28">
        <v>58.5</v>
      </c>
      <c r="BN28" s="9">
        <f>$BM$7-BM28</f>
        <v>1.5</v>
      </c>
      <c r="BO28">
        <v>57</v>
      </c>
      <c r="BP28" s="9">
        <f>$BO$7-BO28</f>
        <v>2</v>
      </c>
      <c r="BQ28">
        <v>41.5</v>
      </c>
      <c r="BR28" s="9">
        <f>$BQ$7-BQ28</f>
        <v>0</v>
      </c>
      <c r="BS28">
        <v>43</v>
      </c>
      <c r="BT28" s="9">
        <f>$BS$7-BS28</f>
        <v>-1</v>
      </c>
      <c r="BU28">
        <v>32.5</v>
      </c>
      <c r="BV28" s="9">
        <f>$BU$7-BU28</f>
        <v>-1</v>
      </c>
      <c r="BW28">
        <v>30</v>
      </c>
      <c r="BX28" s="37">
        <f>$BW$7-BW28</f>
        <v>3</v>
      </c>
    </row>
    <row r="29" spans="1:76" x14ac:dyDescent="0.25">
      <c r="B29" s="237" t="s">
        <v>24</v>
      </c>
      <c r="C29" s="238">
        <v>42241</v>
      </c>
      <c r="D29" s="81"/>
      <c r="E29" s="81"/>
      <c r="F29" s="206"/>
      <c r="G29" s="206"/>
      <c r="H29" s="206" t="s">
        <v>241</v>
      </c>
      <c r="I29" s="208" t="s">
        <v>245</v>
      </c>
      <c r="J29" s="206"/>
      <c r="K29" s="206"/>
      <c r="L29" s="208" t="s">
        <v>264</v>
      </c>
      <c r="M29" s="3"/>
      <c r="N29" s="52"/>
      <c r="O29" s="211"/>
      <c r="P29" s="240"/>
      <c r="Q29" s="147"/>
      <c r="R29" s="223"/>
      <c r="S29" s="59">
        <v>0.3</v>
      </c>
      <c r="T29" s="240">
        <v>0.15277777777777776</v>
      </c>
      <c r="U29" s="14">
        <v>7.6388888888888893E-4</v>
      </c>
      <c r="V29" s="157">
        <v>140</v>
      </c>
      <c r="W29" s="203">
        <v>2.0833333333333332E-2</v>
      </c>
      <c r="X29" s="14">
        <v>1.0613425925925927E-2</v>
      </c>
      <c r="Y29" s="245" t="s">
        <v>225</v>
      </c>
      <c r="Z29" s="14">
        <v>0.21249999999999999</v>
      </c>
      <c r="AA29" s="147">
        <v>132</v>
      </c>
      <c r="AB29" s="223">
        <v>3.01</v>
      </c>
      <c r="AC29" s="26"/>
      <c r="AD29" s="26"/>
      <c r="AE29" s="64"/>
      <c r="AF29" s="64"/>
      <c r="AG29" s="157"/>
      <c r="AH29" s="223"/>
      <c r="AI29" s="26"/>
      <c r="AL29" s="14"/>
      <c r="AM29" s="147"/>
      <c r="AN29" s="223"/>
      <c r="AO29" s="234">
        <v>2.0023148148148148E-2</v>
      </c>
      <c r="AP29" t="s">
        <v>265</v>
      </c>
      <c r="AQ29" s="46">
        <v>7.2</v>
      </c>
      <c r="AR29" s="14">
        <v>0.16527777777777777</v>
      </c>
      <c r="AS29" s="147"/>
      <c r="AT29" s="41">
        <f>3+1.55</f>
        <v>4.55</v>
      </c>
      <c r="AU29" s="233">
        <v>2.011574074074074E-2</v>
      </c>
      <c r="AV29" s="11"/>
      <c r="AW29" s="11"/>
      <c r="AX29" s="50"/>
      <c r="AY29" s="50"/>
      <c r="AZ29" s="223"/>
      <c r="BA29" s="41">
        <f t="shared" si="0"/>
        <v>15.059999999999999</v>
      </c>
      <c r="BB29" s="63">
        <f t="shared" si="1"/>
        <v>5.1516203703703703E-2</v>
      </c>
      <c r="BC29" s="59"/>
      <c r="BD29"/>
      <c r="BE29" s="3"/>
      <c r="BM29"/>
      <c r="BQ29"/>
      <c r="BS29"/>
      <c r="BU29"/>
      <c r="BX29" s="37"/>
    </row>
    <row r="30" spans="1:76" x14ac:dyDescent="0.25">
      <c r="A30" s="6">
        <v>4</v>
      </c>
      <c r="B30" s="237" t="s">
        <v>0</v>
      </c>
      <c r="C30" s="238">
        <v>42240</v>
      </c>
      <c r="D30" s="81"/>
      <c r="E30" s="81"/>
      <c r="F30" s="206"/>
      <c r="G30" s="206"/>
      <c r="H30" s="206" t="s">
        <v>241</v>
      </c>
      <c r="I30" s="208"/>
      <c r="J30" s="206" t="s">
        <v>241</v>
      </c>
      <c r="K30" s="206"/>
      <c r="L30" s="208"/>
      <c r="M30" s="3"/>
      <c r="N30" s="52"/>
      <c r="O30" s="211"/>
      <c r="P30" s="240"/>
      <c r="Q30" s="147"/>
      <c r="R30" s="223"/>
      <c r="S30" s="59"/>
      <c r="T30" s="54"/>
      <c r="U30" s="54"/>
      <c r="V30" s="54"/>
      <c r="W30" s="203">
        <v>2.7777777777777776E-2</v>
      </c>
      <c r="X30" s="14">
        <v>2.1342592592592594E-2</v>
      </c>
      <c r="Y30" s="245" t="s">
        <v>225</v>
      </c>
      <c r="Z30" s="14">
        <v>0.21388888888888891</v>
      </c>
      <c r="AB30" s="223">
        <v>5.99</v>
      </c>
      <c r="AC30" s="51">
        <v>1.3888888888888888E-2</v>
      </c>
      <c r="AD30" s="211" t="s">
        <v>229</v>
      </c>
      <c r="AE30" s="52">
        <v>1.3888888888888888E-2</v>
      </c>
      <c r="AF30" s="52">
        <v>0.18819444444444444</v>
      </c>
      <c r="AG30" s="157"/>
      <c r="AH30" s="223">
        <v>4.43</v>
      </c>
      <c r="AI30" s="26"/>
      <c r="AL30" s="14"/>
      <c r="AM30" s="147"/>
      <c r="AN30" s="223"/>
      <c r="AR30" s="147"/>
      <c r="AS30" s="147"/>
      <c r="AU30" s="220"/>
      <c r="AV30" s="11"/>
      <c r="AW30" s="11"/>
      <c r="AX30" s="50"/>
      <c r="AY30" s="50"/>
      <c r="AZ30" s="223"/>
      <c r="BA30" s="41">
        <f t="shared" si="0"/>
        <v>10.42</v>
      </c>
      <c r="BB30" s="63">
        <f t="shared" si="1"/>
        <v>3.5231481481481482E-2</v>
      </c>
      <c r="BC30" s="59"/>
      <c r="BD30"/>
      <c r="BE30" s="3"/>
      <c r="BM30"/>
      <c r="BQ30"/>
      <c r="BS30"/>
      <c r="BU30"/>
      <c r="BX30" s="37"/>
    </row>
    <row r="31" spans="1:76" x14ac:dyDescent="0.25">
      <c r="A31" s="6">
        <v>35</v>
      </c>
      <c r="B31" s="237" t="s">
        <v>15</v>
      </c>
      <c r="C31" s="238">
        <v>42242</v>
      </c>
      <c r="D31" s="81"/>
      <c r="E31" s="81"/>
      <c r="F31" s="206"/>
      <c r="G31" s="206"/>
      <c r="H31" s="206" t="s">
        <v>241</v>
      </c>
      <c r="I31" s="208"/>
      <c r="J31" s="206"/>
      <c r="K31" s="206" t="s">
        <v>241</v>
      </c>
      <c r="L31" s="208"/>
      <c r="M31" s="3"/>
      <c r="N31" s="52"/>
      <c r="O31" s="211"/>
      <c r="P31" s="240"/>
      <c r="Q31" s="147"/>
      <c r="R31" s="223"/>
      <c r="S31" s="59"/>
      <c r="T31" s="54"/>
      <c r="U31" s="54"/>
      <c r="V31" s="54"/>
      <c r="W31" s="203">
        <v>3.125E-2</v>
      </c>
      <c r="X31" s="14">
        <v>2.0150462962962964E-2</v>
      </c>
      <c r="Y31" s="245" t="s">
        <v>225</v>
      </c>
      <c r="Z31" s="14">
        <v>0.20486111111111113</v>
      </c>
      <c r="AA31" s="147">
        <v>146</v>
      </c>
      <c r="AB31" s="223">
        <v>5.9</v>
      </c>
      <c r="AC31" s="26"/>
      <c r="AD31" s="26"/>
      <c r="AE31" s="64"/>
      <c r="AF31" s="64"/>
      <c r="AG31" s="157"/>
      <c r="AH31" s="223"/>
      <c r="AI31" s="217">
        <v>1.3888888888888888E-2</v>
      </c>
      <c r="AJ31" s="30" t="s">
        <v>233</v>
      </c>
      <c r="AK31" s="52">
        <v>1.3888888888888888E-2</v>
      </c>
      <c r="AL31" s="14">
        <v>0.18124999999999999</v>
      </c>
      <c r="AM31" s="147">
        <v>152</v>
      </c>
      <c r="AN31" s="223">
        <v>4.5999999999999996</v>
      </c>
      <c r="AR31" s="147"/>
      <c r="AS31" s="147"/>
      <c r="AU31" s="220"/>
      <c r="AV31" s="11"/>
      <c r="AW31" s="11"/>
      <c r="AX31" s="50"/>
      <c r="AY31" s="50"/>
      <c r="AZ31" s="223"/>
      <c r="BA31" s="41">
        <f t="shared" si="0"/>
        <v>10.5</v>
      </c>
      <c r="BB31" s="63">
        <f t="shared" si="1"/>
        <v>3.4039351851851848E-2</v>
      </c>
      <c r="BC31" s="59"/>
      <c r="BD31"/>
      <c r="BE31" s="3"/>
      <c r="BM31"/>
      <c r="BQ31"/>
      <c r="BS31"/>
      <c r="BU31"/>
      <c r="BX31" s="37"/>
    </row>
    <row r="32" spans="1:76" x14ac:dyDescent="0.25">
      <c r="A32" s="6"/>
      <c r="B32" s="1"/>
      <c r="C32" s="81"/>
      <c r="D32" s="81"/>
      <c r="E32" s="81"/>
      <c r="F32" s="206" t="s">
        <v>241</v>
      </c>
      <c r="G32" s="206"/>
      <c r="H32" s="206"/>
      <c r="I32" s="208"/>
      <c r="J32" s="206"/>
      <c r="K32" s="206"/>
      <c r="L32" s="208"/>
      <c r="M32" s="203">
        <v>2.0833333333333332E-2</v>
      </c>
      <c r="N32" s="52"/>
      <c r="O32" s="211" t="s">
        <v>225</v>
      </c>
      <c r="P32" s="240"/>
      <c r="Q32" s="147"/>
      <c r="R32" s="223"/>
      <c r="S32" s="59"/>
      <c r="T32" s="54"/>
      <c r="U32" s="54"/>
      <c r="V32" s="54"/>
      <c r="W32" s="3"/>
      <c r="X32" s="14"/>
      <c r="Y32" s="245"/>
      <c r="Z32" s="14"/>
      <c r="AB32" s="223"/>
      <c r="AC32" s="26"/>
      <c r="AD32" s="26"/>
      <c r="AE32" s="64"/>
      <c r="AF32" s="64"/>
      <c r="AG32" s="157"/>
      <c r="AH32" s="223"/>
      <c r="AI32" s="26"/>
      <c r="AL32" s="14"/>
      <c r="AM32" s="147"/>
      <c r="AN32" s="223"/>
      <c r="AR32" s="147"/>
      <c r="AS32" s="147"/>
      <c r="AU32" s="220"/>
      <c r="AV32" s="11"/>
      <c r="AW32" s="11"/>
      <c r="AX32" s="50"/>
      <c r="AY32" s="50"/>
      <c r="AZ32" s="223"/>
      <c r="BA32" s="41">
        <f t="shared" si="0"/>
        <v>0</v>
      </c>
      <c r="BB32" s="63">
        <f t="shared" si="1"/>
        <v>0</v>
      </c>
      <c r="BC32" s="59"/>
      <c r="BD32"/>
      <c r="BE32" s="3"/>
      <c r="BM32"/>
      <c r="BQ32"/>
      <c r="BS32"/>
      <c r="BU32"/>
      <c r="BX32" s="37"/>
    </row>
    <row r="33" spans="1:76" x14ac:dyDescent="0.25">
      <c r="A33" s="6"/>
      <c r="B33" s="237" t="s">
        <v>0</v>
      </c>
      <c r="C33" s="238">
        <v>42247</v>
      </c>
      <c r="D33" s="81"/>
      <c r="E33" s="81"/>
      <c r="F33" s="206"/>
      <c r="G33" s="206"/>
      <c r="H33" s="206" t="s">
        <v>241</v>
      </c>
      <c r="I33" s="208" t="s">
        <v>245</v>
      </c>
      <c r="J33" s="206"/>
      <c r="K33" s="206"/>
      <c r="L33" s="208" t="s">
        <v>266</v>
      </c>
      <c r="M33" s="3"/>
      <c r="N33" s="52"/>
      <c r="O33" s="211"/>
      <c r="P33" s="240"/>
      <c r="Q33" s="147"/>
      <c r="R33" s="223"/>
      <c r="S33" s="59">
        <v>0.3</v>
      </c>
      <c r="T33" s="240">
        <v>0.15902777777777777</v>
      </c>
      <c r="U33" s="14">
        <v>7.8703703703703705E-4</v>
      </c>
      <c r="V33" s="157"/>
      <c r="W33" s="203">
        <v>2.4305555555555556E-2</v>
      </c>
      <c r="X33" s="14">
        <v>1.7557870370370373E-2</v>
      </c>
      <c r="Y33" s="245" t="s">
        <v>225</v>
      </c>
      <c r="Z33" s="14">
        <v>0.20416666666666669</v>
      </c>
      <c r="AB33" s="223">
        <v>4.1500000000000004</v>
      </c>
      <c r="AC33" s="26"/>
      <c r="AD33" s="26"/>
      <c r="AE33" s="64"/>
      <c r="AF33" s="64"/>
      <c r="AG33" s="157"/>
      <c r="AH33" s="223"/>
      <c r="AI33" s="26"/>
      <c r="AL33" s="14"/>
      <c r="AM33" s="147"/>
      <c r="AN33" s="223"/>
      <c r="AO33" s="234">
        <v>1.1307870370370371E-2</v>
      </c>
      <c r="AP33" t="s">
        <v>267</v>
      </c>
      <c r="AQ33" s="46">
        <v>4</v>
      </c>
      <c r="AR33" s="14">
        <v>0.17013888888888887</v>
      </c>
      <c r="AS33" s="147"/>
      <c r="AT33" s="41">
        <v>2.59</v>
      </c>
      <c r="AU33" s="233">
        <v>5.208333333333333E-3</v>
      </c>
      <c r="AV33" s="11"/>
      <c r="AW33" s="11"/>
      <c r="AX33" s="50"/>
      <c r="AY33" s="50"/>
      <c r="AZ33" s="223"/>
      <c r="BA33" s="41">
        <f t="shared" si="0"/>
        <v>11.04</v>
      </c>
      <c r="BB33" s="63">
        <f t="shared" si="1"/>
        <v>3.4861111111111114E-2</v>
      </c>
      <c r="BC33" s="59"/>
      <c r="BD33"/>
      <c r="BE33" s="3"/>
      <c r="BM33"/>
      <c r="BQ33"/>
      <c r="BS33"/>
      <c r="BU33"/>
      <c r="BX33" s="37"/>
    </row>
    <row r="34" spans="1:76" x14ac:dyDescent="0.25">
      <c r="A34" s="56"/>
      <c r="B34" s="248" t="s">
        <v>18</v>
      </c>
      <c r="C34" s="249">
        <v>42245</v>
      </c>
      <c r="D34" s="85" t="s">
        <v>117</v>
      </c>
      <c r="E34" s="85"/>
      <c r="F34" s="207"/>
      <c r="G34" s="207" t="s">
        <v>241</v>
      </c>
      <c r="H34" s="207"/>
      <c r="I34" s="209"/>
      <c r="J34" s="207"/>
      <c r="K34" s="207"/>
      <c r="L34" s="209"/>
      <c r="M34" s="19"/>
      <c r="N34" s="22"/>
      <c r="O34" s="212"/>
      <c r="P34" s="242"/>
      <c r="Q34" s="156"/>
      <c r="R34" s="224"/>
      <c r="S34" s="57"/>
      <c r="T34" s="42"/>
      <c r="U34" s="42"/>
      <c r="V34" s="42"/>
      <c r="W34" s="222">
        <v>2.7777777777777776E-2</v>
      </c>
      <c r="X34" s="20">
        <v>0</v>
      </c>
      <c r="Y34" s="246" t="s">
        <v>225</v>
      </c>
      <c r="Z34" s="20"/>
      <c r="AA34" s="156"/>
      <c r="AB34" s="224"/>
      <c r="AC34" s="18"/>
      <c r="AD34" s="18"/>
      <c r="AE34" s="20"/>
      <c r="AF34" s="20"/>
      <c r="AG34" s="156"/>
      <c r="AH34" s="224"/>
      <c r="AI34" s="84"/>
      <c r="AJ34" s="31"/>
      <c r="AK34" s="42"/>
      <c r="AL34" s="20"/>
      <c r="AM34" s="156"/>
      <c r="AN34" s="224"/>
      <c r="AO34" s="18"/>
      <c r="AP34" s="18"/>
      <c r="AQ34" s="57"/>
      <c r="AR34" s="156"/>
      <c r="AS34" s="156"/>
      <c r="AT34" s="42"/>
      <c r="AU34" s="221"/>
      <c r="AV34" s="250">
        <v>0.1305787037037037</v>
      </c>
      <c r="AW34" s="18" t="s">
        <v>261</v>
      </c>
      <c r="AX34" s="22">
        <v>0.18611111111111112</v>
      </c>
      <c r="AY34" s="20">
        <v>154</v>
      </c>
      <c r="AZ34" s="224">
        <v>42.05</v>
      </c>
      <c r="BA34" s="225">
        <f t="shared" si="0"/>
        <v>42.05</v>
      </c>
      <c r="BB34" s="58">
        <f t="shared" si="1"/>
        <v>0.1305787037037037</v>
      </c>
      <c r="BC34" s="57">
        <f>SUM(BA28:BA34)</f>
        <v>89.07</v>
      </c>
      <c r="BD34" s="21">
        <f>SUM(BB28:BB34)</f>
        <v>0.28622685185185182</v>
      </c>
      <c r="BE34" s="19"/>
      <c r="BF34" s="36"/>
      <c r="BG34" s="18"/>
      <c r="BH34" s="36"/>
      <c r="BI34" s="18"/>
      <c r="BJ34" s="36"/>
      <c r="BK34" s="18"/>
      <c r="BL34" s="36"/>
      <c r="BM34" s="18"/>
      <c r="BN34" s="36"/>
      <c r="BO34" s="18"/>
      <c r="BP34" s="36"/>
      <c r="BQ34" s="18"/>
      <c r="BR34" s="36"/>
      <c r="BS34" s="18"/>
      <c r="BT34" s="36"/>
      <c r="BU34" s="18"/>
      <c r="BV34" s="36"/>
      <c r="BW34" s="18"/>
      <c r="BX34" s="38"/>
    </row>
    <row r="35" spans="1:76" x14ac:dyDescent="0.25">
      <c r="B35" s="237"/>
      <c r="C35" s="238"/>
      <c r="D35" s="81"/>
      <c r="E35" s="81"/>
      <c r="F35" s="206"/>
      <c r="G35" s="206"/>
      <c r="H35" s="206"/>
      <c r="I35" s="208"/>
      <c r="J35" s="206"/>
      <c r="K35" s="206"/>
      <c r="L35" s="208"/>
      <c r="M35" s="3"/>
      <c r="N35" s="52"/>
      <c r="O35" s="211"/>
      <c r="P35" s="240"/>
      <c r="Q35" s="147"/>
      <c r="R35" s="223"/>
      <c r="S35" s="59"/>
      <c r="T35" s="54"/>
      <c r="U35" s="54"/>
      <c r="V35" s="54"/>
      <c r="W35" s="3"/>
      <c r="X35" s="14"/>
      <c r="Y35" s="245"/>
      <c r="Z35" s="14"/>
      <c r="AB35" s="223"/>
      <c r="AC35" s="26"/>
      <c r="AD35" s="26"/>
      <c r="AE35" s="64"/>
      <c r="AF35" s="64"/>
      <c r="AG35" s="157"/>
      <c r="AH35" s="223"/>
      <c r="AI35" s="26"/>
      <c r="AL35" s="14"/>
      <c r="AM35" s="147"/>
      <c r="AN35" s="223"/>
      <c r="AR35" s="147"/>
      <c r="AS35" s="147"/>
      <c r="AU35" s="220"/>
      <c r="AV35" s="11"/>
      <c r="AW35" s="11"/>
      <c r="AX35" s="50"/>
      <c r="AY35" s="50"/>
      <c r="AZ35" s="223"/>
      <c r="BA35" s="41">
        <f t="shared" si="0"/>
        <v>0</v>
      </c>
      <c r="BB35" s="63">
        <f t="shared" si="1"/>
        <v>0</v>
      </c>
      <c r="BC35" s="59"/>
      <c r="BD35"/>
      <c r="BE35" s="3">
        <v>79.2</v>
      </c>
      <c r="BF35" s="9">
        <f>$BE$7-BE35</f>
        <v>1.3999999999999915</v>
      </c>
      <c r="BG35">
        <v>89</v>
      </c>
      <c r="BH35" s="9">
        <f>$BG$7-BG35</f>
        <v>2</v>
      </c>
      <c r="BI35">
        <v>96</v>
      </c>
      <c r="BJ35" s="9">
        <f>$BI$7-BI35</f>
        <v>2</v>
      </c>
      <c r="BK35">
        <v>97.5</v>
      </c>
      <c r="BL35" s="9">
        <f>$BK$7-BK35</f>
        <v>3.5</v>
      </c>
      <c r="BM35">
        <v>57.5</v>
      </c>
      <c r="BN35" s="9">
        <f>$BM$7-BM35</f>
        <v>2.5</v>
      </c>
      <c r="BO35">
        <v>57</v>
      </c>
      <c r="BP35" s="9">
        <f>$BO$7-BO35</f>
        <v>2</v>
      </c>
      <c r="BQ35">
        <v>42</v>
      </c>
      <c r="BR35" s="9">
        <f>$BQ$7-BQ35</f>
        <v>-0.5</v>
      </c>
      <c r="BS35">
        <v>42</v>
      </c>
      <c r="BT35" s="9">
        <f>$BS$7-BS35</f>
        <v>0</v>
      </c>
      <c r="BU35">
        <v>32.5</v>
      </c>
      <c r="BV35" s="9">
        <f>$BU$7-BU35</f>
        <v>-1</v>
      </c>
      <c r="BW35">
        <v>30.5</v>
      </c>
      <c r="BX35" s="37">
        <f>$BW$7-BW35</f>
        <v>2.5</v>
      </c>
    </row>
    <row r="36" spans="1:76" x14ac:dyDescent="0.25">
      <c r="B36" s="237" t="s">
        <v>15</v>
      </c>
      <c r="C36" s="238">
        <v>42249</v>
      </c>
      <c r="D36" s="81"/>
      <c r="E36" s="81"/>
      <c r="F36" s="206"/>
      <c r="G36" s="206"/>
      <c r="H36" s="206" t="s">
        <v>241</v>
      </c>
      <c r="I36" s="208" t="s">
        <v>245</v>
      </c>
      <c r="J36" s="206"/>
      <c r="K36" s="206"/>
      <c r="L36" s="208" t="s">
        <v>31</v>
      </c>
      <c r="M36" s="3"/>
      <c r="N36" s="52"/>
      <c r="O36" s="211"/>
      <c r="P36" s="240"/>
      <c r="Q36" s="147"/>
      <c r="R36" s="223"/>
      <c r="S36" s="59">
        <v>0.3</v>
      </c>
      <c r="T36" s="240">
        <v>0.15208333333333332</v>
      </c>
      <c r="U36" s="14">
        <v>7.6388888888888893E-4</v>
      </c>
      <c r="V36" s="157">
        <v>145</v>
      </c>
      <c r="W36" s="203">
        <v>2.7777777777777776E-2</v>
      </c>
      <c r="X36" s="14">
        <v>4.0856481481481481E-3</v>
      </c>
      <c r="Y36" s="245" t="s">
        <v>270</v>
      </c>
      <c r="Z36" s="14">
        <v>0.20902777777777778</v>
      </c>
      <c r="AA36" s="147">
        <v>127</v>
      </c>
      <c r="AB36" s="223">
        <v>1.1599999999999999</v>
      </c>
      <c r="AC36" s="26"/>
      <c r="AD36" s="26"/>
      <c r="AE36" s="64"/>
      <c r="AF36" s="64"/>
      <c r="AG36" s="157"/>
      <c r="AH36" s="223"/>
      <c r="AI36" s="26"/>
      <c r="AL36" s="14"/>
      <c r="AM36" s="147"/>
      <c r="AN36" s="223"/>
      <c r="AO36" s="234">
        <v>2.0925925925925928E-2</v>
      </c>
      <c r="AP36" t="s">
        <v>233</v>
      </c>
      <c r="AQ36" s="46">
        <v>7.5</v>
      </c>
      <c r="AR36" s="14">
        <v>0.16805555555555554</v>
      </c>
      <c r="AS36" s="147">
        <v>155</v>
      </c>
      <c r="AT36" s="41">
        <v>4.03</v>
      </c>
      <c r="AU36" s="233">
        <v>1.741898148148148E-2</v>
      </c>
      <c r="AV36" s="11"/>
      <c r="AW36" s="11"/>
      <c r="AX36" s="50"/>
      <c r="AY36" s="50"/>
      <c r="AZ36" s="223"/>
      <c r="BA36" s="41">
        <f t="shared" si="0"/>
        <v>12.990000000000002</v>
      </c>
      <c r="BB36" s="63">
        <f t="shared" si="1"/>
        <v>4.3194444444444445E-2</v>
      </c>
      <c r="BC36" s="59"/>
      <c r="BD36"/>
      <c r="BE36" s="3"/>
      <c r="BM36"/>
      <c r="BQ36"/>
      <c r="BS36"/>
      <c r="BU36"/>
      <c r="BX36" s="37"/>
    </row>
    <row r="37" spans="1:76" x14ac:dyDescent="0.25">
      <c r="A37" s="6">
        <v>5</v>
      </c>
      <c r="B37" s="237" t="s">
        <v>26</v>
      </c>
      <c r="C37" s="238">
        <v>42250</v>
      </c>
      <c r="D37" s="81"/>
      <c r="E37" s="81"/>
      <c r="F37" s="206"/>
      <c r="G37" s="206"/>
      <c r="H37" s="206" t="s">
        <v>241</v>
      </c>
      <c r="I37" s="208"/>
      <c r="J37" s="206" t="s">
        <v>241</v>
      </c>
      <c r="K37" s="206"/>
      <c r="L37" s="208"/>
      <c r="M37" s="3"/>
      <c r="N37" s="52"/>
      <c r="O37" s="211"/>
      <c r="P37" s="240"/>
      <c r="Q37" s="147"/>
      <c r="R37" s="223"/>
      <c r="S37" s="59"/>
      <c r="T37" s="54"/>
      <c r="U37" s="54"/>
      <c r="V37" s="54"/>
      <c r="W37" s="203">
        <v>3.125E-2</v>
      </c>
      <c r="X37" s="14">
        <v>3.3622685185185179E-2</v>
      </c>
      <c r="Y37" s="245" t="s">
        <v>270</v>
      </c>
      <c r="Z37" s="14">
        <v>0.20972222222222223</v>
      </c>
      <c r="AB37" s="223">
        <v>9.61</v>
      </c>
      <c r="AC37" s="51">
        <v>1.3888888888888888E-2</v>
      </c>
      <c r="AD37" s="211" t="s">
        <v>229</v>
      </c>
      <c r="AE37" s="52">
        <v>1.3888888888888888E-2</v>
      </c>
      <c r="AF37" s="52">
        <v>0.18402777777777779</v>
      </c>
      <c r="AG37" s="157"/>
      <c r="AH37" s="223">
        <v>4.54</v>
      </c>
      <c r="AI37" s="26"/>
      <c r="AL37" s="14"/>
      <c r="AM37" s="147"/>
      <c r="AN37" s="223"/>
      <c r="AR37" s="147"/>
      <c r="AS37" s="147"/>
      <c r="AU37" s="220"/>
      <c r="AV37" s="11"/>
      <c r="AW37" s="11"/>
      <c r="AX37" s="50"/>
      <c r="AY37" s="50"/>
      <c r="AZ37" s="223"/>
      <c r="BA37" s="41">
        <f t="shared" si="0"/>
        <v>14.149999999999999</v>
      </c>
      <c r="BB37" s="63">
        <f t="shared" si="1"/>
        <v>4.7511574074074067E-2</v>
      </c>
      <c r="BC37" s="59"/>
      <c r="BD37"/>
      <c r="BE37" s="3"/>
      <c r="BM37"/>
      <c r="BQ37"/>
      <c r="BS37"/>
      <c r="BU37"/>
      <c r="BX37" s="37"/>
    </row>
    <row r="38" spans="1:76" x14ac:dyDescent="0.25">
      <c r="A38" s="6">
        <v>36</v>
      </c>
      <c r="B38" s="237" t="s">
        <v>18</v>
      </c>
      <c r="C38" s="238">
        <v>42252</v>
      </c>
      <c r="D38" s="81"/>
      <c r="E38" s="81"/>
      <c r="F38" s="206"/>
      <c r="G38" s="206"/>
      <c r="H38" s="206" t="s">
        <v>241</v>
      </c>
      <c r="I38" s="208"/>
      <c r="J38" s="206"/>
      <c r="K38" s="206" t="s">
        <v>241</v>
      </c>
      <c r="L38" s="208"/>
      <c r="M38" s="3"/>
      <c r="N38" s="52"/>
      <c r="O38" s="211"/>
      <c r="P38" s="240"/>
      <c r="Q38" s="147"/>
      <c r="R38" s="223"/>
      <c r="S38" s="59"/>
      <c r="T38" s="54"/>
      <c r="U38" s="54"/>
      <c r="V38" s="54"/>
      <c r="W38" s="203">
        <v>3.125E-2</v>
      </c>
      <c r="X38" s="14">
        <v>1.7187499999999998E-2</v>
      </c>
      <c r="Y38" s="245" t="s">
        <v>270</v>
      </c>
      <c r="Z38" s="14">
        <v>0.20555555555555557</v>
      </c>
      <c r="AB38" s="223">
        <v>5.04</v>
      </c>
      <c r="AC38" s="26"/>
      <c r="AD38" s="26"/>
      <c r="AE38" s="64"/>
      <c r="AF38" s="64"/>
      <c r="AG38" s="157"/>
      <c r="AH38" s="223"/>
      <c r="AI38" s="217">
        <v>2.0833333333333332E-2</v>
      </c>
      <c r="AJ38" s="30" t="s">
        <v>259</v>
      </c>
      <c r="AK38" s="52">
        <v>2.0833333333333332E-2</v>
      </c>
      <c r="AL38" s="14">
        <v>0.18888888888888888</v>
      </c>
      <c r="AM38" s="147"/>
      <c r="AN38" s="223">
        <v>6.62</v>
      </c>
      <c r="AR38" s="147"/>
      <c r="AS38" s="147"/>
      <c r="AU38" s="220"/>
      <c r="AV38" s="11"/>
      <c r="AW38" s="11"/>
      <c r="AX38" s="50"/>
      <c r="AY38" s="50"/>
      <c r="AZ38" s="223"/>
      <c r="BA38" s="41">
        <f t="shared" si="0"/>
        <v>11.66</v>
      </c>
      <c r="BB38" s="63">
        <f t="shared" si="1"/>
        <v>3.802083333333333E-2</v>
      </c>
      <c r="BC38" s="59"/>
      <c r="BD38"/>
      <c r="BE38" s="3"/>
      <c r="BM38"/>
      <c r="BQ38"/>
      <c r="BS38"/>
      <c r="BU38"/>
      <c r="BX38" s="37"/>
    </row>
    <row r="39" spans="1:76" x14ac:dyDescent="0.25">
      <c r="A39" s="6"/>
      <c r="B39" s="237" t="s">
        <v>18</v>
      </c>
      <c r="C39" s="238">
        <v>42252</v>
      </c>
      <c r="D39" s="81"/>
      <c r="E39" s="81"/>
      <c r="F39" s="206" t="s">
        <v>241</v>
      </c>
      <c r="G39" s="206"/>
      <c r="H39" s="206"/>
      <c r="I39" s="208"/>
      <c r="J39" s="206"/>
      <c r="K39" s="206"/>
      <c r="L39" s="208"/>
      <c r="M39" s="203">
        <v>2.0833333333333332E-2</v>
      </c>
      <c r="N39" s="52">
        <v>2.4155092592592589E-2</v>
      </c>
      <c r="O39" s="245" t="s">
        <v>270</v>
      </c>
      <c r="P39" s="240">
        <v>0.21249999999999999</v>
      </c>
      <c r="Q39" s="147"/>
      <c r="R39" s="223">
        <v>6.81</v>
      </c>
      <c r="S39" s="59"/>
      <c r="T39" s="54"/>
      <c r="U39" s="54"/>
      <c r="V39" s="54"/>
      <c r="W39" s="3"/>
      <c r="X39" s="14"/>
      <c r="Y39" s="245"/>
      <c r="Z39" s="14"/>
      <c r="AB39" s="223"/>
      <c r="AC39" s="26"/>
      <c r="AD39" s="26"/>
      <c r="AE39" s="64"/>
      <c r="AF39" s="64"/>
      <c r="AG39" s="157"/>
      <c r="AH39" s="223"/>
      <c r="AI39" s="26"/>
      <c r="AL39" s="14"/>
      <c r="AM39" s="147"/>
      <c r="AN39" s="223"/>
      <c r="AR39" s="147"/>
      <c r="AS39" s="147"/>
      <c r="AU39" s="220"/>
      <c r="AV39" s="11"/>
      <c r="AW39" s="11"/>
      <c r="AX39" s="50"/>
      <c r="AY39" s="50"/>
      <c r="AZ39" s="223"/>
      <c r="BA39" s="41">
        <f t="shared" ref="BA39:BA70" si="2">R39+S39+AB39+AH39+AN39+AQ39+AT39+AZ39</f>
        <v>6.81</v>
      </c>
      <c r="BB39" s="63">
        <f t="shared" ref="BB39:BB70" si="3">N39+U39+X39+AE39+AK39+AO39+AU39+AV39</f>
        <v>2.4155092592592589E-2</v>
      </c>
      <c r="BC39" s="59"/>
      <c r="BD39"/>
      <c r="BE39" s="3"/>
      <c r="BM39"/>
      <c r="BQ39"/>
      <c r="BS39"/>
      <c r="BU39"/>
      <c r="BX39" s="37"/>
    </row>
    <row r="40" spans="1:76" x14ac:dyDescent="0.25">
      <c r="A40" s="6"/>
      <c r="B40" s="237" t="s">
        <v>0</v>
      </c>
      <c r="C40" s="238">
        <v>42254</v>
      </c>
      <c r="D40" s="81"/>
      <c r="E40" s="81"/>
      <c r="F40" s="206"/>
      <c r="G40" s="206"/>
      <c r="H40" s="206" t="s">
        <v>241</v>
      </c>
      <c r="I40" s="208" t="s">
        <v>245</v>
      </c>
      <c r="J40" s="206"/>
      <c r="K40" s="206"/>
      <c r="L40" s="208" t="s">
        <v>271</v>
      </c>
      <c r="M40" s="3"/>
      <c r="N40" s="52"/>
      <c r="O40" s="211"/>
      <c r="P40" s="240"/>
      <c r="Q40" s="147"/>
      <c r="R40" s="223"/>
      <c r="S40" s="59">
        <v>0.3</v>
      </c>
      <c r="T40" s="240">
        <v>0.15972222222222224</v>
      </c>
      <c r="U40" s="14">
        <v>7.9861111111111105E-4</v>
      </c>
      <c r="V40" s="54"/>
      <c r="W40" s="203">
        <v>3.125E-2</v>
      </c>
      <c r="X40" s="14">
        <v>1.7384259259259262E-2</v>
      </c>
      <c r="Y40" s="245" t="s">
        <v>270</v>
      </c>
      <c r="Z40" s="14">
        <v>0.20625000000000002</v>
      </c>
      <c r="AB40" s="223">
        <v>5.0599999999999996</v>
      </c>
      <c r="AC40" s="26"/>
      <c r="AD40" s="26"/>
      <c r="AE40" s="64"/>
      <c r="AF40" s="64"/>
      <c r="AG40" s="157"/>
      <c r="AH40" s="223"/>
      <c r="AI40" s="26"/>
      <c r="AL40" s="14"/>
      <c r="AM40" s="147"/>
      <c r="AN40" s="223"/>
      <c r="AO40" s="234">
        <v>1.4224537037037037E-2</v>
      </c>
      <c r="AP40" t="s">
        <v>267</v>
      </c>
      <c r="AQ40" s="46">
        <v>5</v>
      </c>
      <c r="AR40" s="147"/>
      <c r="AS40" s="147"/>
      <c r="AT40" s="41">
        <v>1.52</v>
      </c>
      <c r="AU40" s="233">
        <v>5.208333333333333E-3</v>
      </c>
      <c r="AV40" s="11"/>
      <c r="AW40" s="11"/>
      <c r="AX40" s="50"/>
      <c r="AY40" s="50"/>
      <c r="AZ40" s="223"/>
      <c r="BA40" s="41">
        <f t="shared" si="2"/>
        <v>11.879999999999999</v>
      </c>
      <c r="BB40" s="63">
        <f t="shared" si="3"/>
        <v>3.7615740740740748E-2</v>
      </c>
      <c r="BC40" s="59"/>
      <c r="BD40"/>
      <c r="BE40" s="3"/>
      <c r="BM40"/>
      <c r="BQ40"/>
      <c r="BS40"/>
      <c r="BU40"/>
      <c r="BX40" s="37"/>
    </row>
    <row r="41" spans="1:76" x14ac:dyDescent="0.25">
      <c r="A41" s="56"/>
      <c r="B41" s="248" t="s">
        <v>27</v>
      </c>
      <c r="C41" s="249">
        <v>42253</v>
      </c>
      <c r="D41" s="85" t="s">
        <v>200</v>
      </c>
      <c r="E41" s="85"/>
      <c r="F41" s="207"/>
      <c r="G41" s="207" t="s">
        <v>241</v>
      </c>
      <c r="H41" s="207"/>
      <c r="I41" s="209"/>
      <c r="J41" s="207"/>
      <c r="K41" s="207"/>
      <c r="L41" s="209"/>
      <c r="M41" s="19"/>
      <c r="N41" s="22"/>
      <c r="O41" s="212"/>
      <c r="P41" s="242"/>
      <c r="Q41" s="156"/>
      <c r="R41" s="224"/>
      <c r="S41" s="57"/>
      <c r="T41" s="42"/>
      <c r="U41" s="42"/>
      <c r="V41" s="42"/>
      <c r="W41" s="19"/>
      <c r="X41" s="20"/>
      <c r="Y41" s="246"/>
      <c r="Z41" s="20"/>
      <c r="AA41" s="156"/>
      <c r="AB41" s="224"/>
      <c r="AC41" s="18"/>
      <c r="AD41" s="18"/>
      <c r="AE41" s="20"/>
      <c r="AF41" s="20"/>
      <c r="AG41" s="156"/>
      <c r="AH41" s="224"/>
      <c r="AI41" s="84"/>
      <c r="AJ41" s="31"/>
      <c r="AK41" s="42"/>
      <c r="AL41" s="20"/>
      <c r="AM41" s="156"/>
      <c r="AN41" s="224"/>
      <c r="AO41" s="18"/>
      <c r="AP41" s="18"/>
      <c r="AQ41" s="57"/>
      <c r="AR41" s="156"/>
      <c r="AS41" s="156"/>
      <c r="AT41" s="42"/>
      <c r="AU41" s="221"/>
      <c r="AV41" s="250">
        <v>0.13513888888888889</v>
      </c>
      <c r="AW41" s="18" t="s">
        <v>261</v>
      </c>
      <c r="AX41" s="22">
        <v>0.19027777777777777</v>
      </c>
      <c r="AY41" s="20">
        <v>148</v>
      </c>
      <c r="AZ41" s="224">
        <v>42.56</v>
      </c>
      <c r="BA41" s="225">
        <f t="shared" si="2"/>
        <v>42.56</v>
      </c>
      <c r="BB41" s="58">
        <f t="shared" si="3"/>
        <v>0.13513888888888889</v>
      </c>
      <c r="BC41" s="57">
        <f>SUM(BA35:BA41)</f>
        <v>100.05</v>
      </c>
      <c r="BD41" s="21">
        <f>SUM(BB35:BB41)</f>
        <v>0.32563657407407409</v>
      </c>
      <c r="BE41" s="19"/>
      <c r="BF41" s="36"/>
      <c r="BG41" s="18"/>
      <c r="BH41" s="36"/>
      <c r="BI41" s="18"/>
      <c r="BJ41" s="36"/>
      <c r="BK41" s="18"/>
      <c r="BL41" s="36"/>
      <c r="BM41" s="18"/>
      <c r="BN41" s="36"/>
      <c r="BO41" s="18"/>
      <c r="BP41" s="36"/>
      <c r="BQ41" s="18"/>
      <c r="BR41" s="36"/>
      <c r="BS41" s="18"/>
      <c r="BT41" s="36"/>
      <c r="BU41" s="18"/>
      <c r="BV41" s="36"/>
      <c r="BW41" s="18"/>
      <c r="BX41" s="38"/>
    </row>
    <row r="42" spans="1:76" x14ac:dyDescent="0.25">
      <c r="A42" s="6"/>
      <c r="B42" s="1"/>
      <c r="C42" s="81"/>
      <c r="D42" s="81"/>
      <c r="E42" s="81"/>
      <c r="F42" s="206"/>
      <c r="G42" s="206"/>
      <c r="H42" s="206"/>
      <c r="I42" s="208"/>
      <c r="J42" s="206"/>
      <c r="K42" s="206"/>
      <c r="L42" s="208"/>
      <c r="M42" s="3"/>
      <c r="N42" s="52"/>
      <c r="O42" s="211"/>
      <c r="P42" s="240"/>
      <c r="Q42" s="147"/>
      <c r="R42" s="223"/>
      <c r="S42" s="59"/>
      <c r="T42" s="54"/>
      <c r="U42" s="54"/>
      <c r="V42" s="54"/>
      <c r="W42" s="3"/>
      <c r="X42" s="14"/>
      <c r="Y42" s="245"/>
      <c r="Z42" s="14"/>
      <c r="AB42" s="223"/>
      <c r="AC42" s="26"/>
      <c r="AD42" s="26"/>
      <c r="AE42" s="64"/>
      <c r="AF42" s="64"/>
      <c r="AG42" s="157"/>
      <c r="AH42" s="223"/>
      <c r="AI42" s="26"/>
      <c r="AL42" s="14"/>
      <c r="AM42" s="147"/>
      <c r="AN42" s="223"/>
      <c r="AR42" s="147"/>
      <c r="AS42" s="147"/>
      <c r="AU42" s="220"/>
      <c r="AV42" s="11"/>
      <c r="AW42" s="11"/>
      <c r="AX42" s="50"/>
      <c r="AY42" s="50"/>
      <c r="AZ42" s="223"/>
      <c r="BA42" s="41">
        <f t="shared" si="2"/>
        <v>0</v>
      </c>
      <c r="BB42" s="63">
        <f t="shared" si="3"/>
        <v>0</v>
      </c>
      <c r="BC42" s="59"/>
      <c r="BD42"/>
      <c r="BE42" s="3">
        <v>79.599999999999994</v>
      </c>
      <c r="BF42" s="9">
        <f>$BE$7-BE42</f>
        <v>1</v>
      </c>
      <c r="BG42">
        <v>88</v>
      </c>
      <c r="BH42" s="9">
        <f>$BG$7-BG42</f>
        <v>3</v>
      </c>
      <c r="BI42">
        <v>96</v>
      </c>
      <c r="BJ42" s="9">
        <f>$BI$7-BI42</f>
        <v>2</v>
      </c>
      <c r="BK42">
        <v>96</v>
      </c>
      <c r="BL42" s="9">
        <f>$BK$7-BK42</f>
        <v>5</v>
      </c>
      <c r="BM42">
        <v>58</v>
      </c>
      <c r="BN42" s="9">
        <f>$BM$7-BM42</f>
        <v>2</v>
      </c>
      <c r="BO42">
        <v>58</v>
      </c>
      <c r="BP42" s="9">
        <f>$BO$7-BO42</f>
        <v>1</v>
      </c>
      <c r="BQ42">
        <v>41.5</v>
      </c>
      <c r="BR42" s="9">
        <f>$BQ$7-BQ42</f>
        <v>0</v>
      </c>
      <c r="BS42">
        <v>42</v>
      </c>
      <c r="BT42" s="9">
        <f>$BS$7-BS42</f>
        <v>0</v>
      </c>
      <c r="BU42">
        <v>32.5</v>
      </c>
      <c r="BV42" s="9">
        <f>$BU$7-BU42</f>
        <v>-1</v>
      </c>
      <c r="BW42">
        <v>30.5</v>
      </c>
      <c r="BX42" s="37">
        <f>$BW$7-BW42</f>
        <v>2.5</v>
      </c>
    </row>
    <row r="43" spans="1:76" x14ac:dyDescent="0.25">
      <c r="A43" s="6"/>
      <c r="B43" s="237" t="s">
        <v>24</v>
      </c>
      <c r="C43" s="238">
        <v>42255</v>
      </c>
      <c r="D43" s="81"/>
      <c r="E43" s="81"/>
      <c r="F43" s="206"/>
      <c r="G43" s="206"/>
      <c r="H43" s="206" t="s">
        <v>241</v>
      </c>
      <c r="I43" s="208" t="s">
        <v>245</v>
      </c>
      <c r="J43" s="206"/>
      <c r="K43" s="206"/>
      <c r="L43" s="208" t="s">
        <v>272</v>
      </c>
      <c r="M43" s="3"/>
      <c r="N43" s="52"/>
      <c r="O43" s="211"/>
      <c r="P43" s="240"/>
      <c r="Q43" s="147"/>
      <c r="R43" s="223"/>
      <c r="S43" s="59">
        <v>0.3</v>
      </c>
      <c r="T43" s="240">
        <v>0.15833333333333333</v>
      </c>
      <c r="U43" s="14">
        <v>7.9861111111111105E-4</v>
      </c>
      <c r="V43" s="157">
        <v>145</v>
      </c>
      <c r="W43" s="203">
        <v>2.7777777777777776E-2</v>
      </c>
      <c r="X43" s="14">
        <v>1.7384259259259262E-2</v>
      </c>
      <c r="Y43" s="245" t="s">
        <v>270</v>
      </c>
      <c r="Z43" s="14">
        <v>0.20555555555555557</v>
      </c>
      <c r="AA43" s="147">
        <v>132</v>
      </c>
      <c r="AB43" s="223">
        <v>5.07</v>
      </c>
      <c r="AC43" s="26"/>
      <c r="AD43" s="26"/>
      <c r="AE43" s="64"/>
      <c r="AF43" s="64"/>
      <c r="AG43" s="157"/>
      <c r="AH43" s="223"/>
      <c r="AI43" s="26"/>
      <c r="AL43" s="14"/>
      <c r="AM43" s="147"/>
      <c r="AN43" s="223"/>
      <c r="AO43" s="234">
        <v>2.1747685185185186E-2</v>
      </c>
      <c r="AP43" t="s">
        <v>233</v>
      </c>
      <c r="AQ43" s="46">
        <v>8</v>
      </c>
      <c r="AR43" s="147"/>
      <c r="AS43" s="147">
        <v>156</v>
      </c>
      <c r="AT43" s="41">
        <f>3.2+1.58</f>
        <v>4.78</v>
      </c>
      <c r="AU43" s="233">
        <v>2.0694444444444446E-2</v>
      </c>
      <c r="AV43" s="215"/>
      <c r="AW43" s="215"/>
      <c r="AX43" s="251"/>
      <c r="AY43" s="251"/>
      <c r="AZ43" s="223"/>
      <c r="BA43" s="41">
        <f t="shared" si="2"/>
        <v>18.150000000000002</v>
      </c>
      <c r="BB43" s="63">
        <f t="shared" si="3"/>
        <v>6.0625000000000005E-2</v>
      </c>
      <c r="BC43" s="59"/>
      <c r="BD43"/>
      <c r="BE43" s="3"/>
      <c r="BM43"/>
      <c r="BQ43"/>
      <c r="BS43"/>
      <c r="BU43"/>
      <c r="BX43" s="37"/>
    </row>
    <row r="44" spans="1:76" x14ac:dyDescent="0.25">
      <c r="A44" s="6">
        <v>6</v>
      </c>
      <c r="B44" s="237" t="s">
        <v>15</v>
      </c>
      <c r="C44" s="238">
        <v>42256</v>
      </c>
      <c r="D44" s="81"/>
      <c r="E44" s="81"/>
      <c r="F44" s="206"/>
      <c r="G44" s="206"/>
      <c r="H44" s="206" t="s">
        <v>241</v>
      </c>
      <c r="I44" s="208"/>
      <c r="J44" s="206" t="s">
        <v>241</v>
      </c>
      <c r="K44" s="206"/>
      <c r="L44" s="208"/>
      <c r="M44" s="3"/>
      <c r="N44" s="52"/>
      <c r="O44" s="211"/>
      <c r="P44" s="240"/>
      <c r="Q44" s="147"/>
      <c r="R44" s="223"/>
      <c r="S44" s="59"/>
      <c r="T44" s="54"/>
      <c r="U44" s="54"/>
      <c r="V44" s="54"/>
      <c r="W44" s="203">
        <v>3.4722222222222224E-2</v>
      </c>
      <c r="X44" s="14">
        <v>3.78587962962963E-2</v>
      </c>
      <c r="Y44" s="245" t="s">
        <v>270</v>
      </c>
      <c r="Z44" s="14">
        <v>0.20277777777777781</v>
      </c>
      <c r="AB44" s="223">
        <v>11.21</v>
      </c>
      <c r="AC44" s="51">
        <v>1.3888888888888888E-2</v>
      </c>
      <c r="AD44" s="211" t="s">
        <v>229</v>
      </c>
      <c r="AE44" s="52">
        <v>1.3888888888888888E-2</v>
      </c>
      <c r="AF44" s="52">
        <v>0.17916666666666667</v>
      </c>
      <c r="AG44" s="157"/>
      <c r="AH44" s="223">
        <v>4.66</v>
      </c>
      <c r="AI44" s="26"/>
      <c r="AL44" s="14"/>
      <c r="AM44" s="147"/>
      <c r="AN44" s="223"/>
      <c r="AR44" s="147"/>
      <c r="AS44" s="147"/>
      <c r="AU44" s="220"/>
      <c r="AV44" s="11"/>
      <c r="AW44" s="11"/>
      <c r="AX44" s="50"/>
      <c r="AY44" s="50"/>
      <c r="AZ44" s="223"/>
      <c r="BA44" s="41">
        <f t="shared" si="2"/>
        <v>15.870000000000001</v>
      </c>
      <c r="BB44" s="63">
        <f t="shared" si="3"/>
        <v>5.1747685185185188E-2</v>
      </c>
      <c r="BC44" s="59"/>
      <c r="BD44"/>
      <c r="BE44" s="3"/>
      <c r="BM44"/>
      <c r="BQ44"/>
      <c r="BS44"/>
      <c r="BU44"/>
      <c r="BX44" s="37"/>
    </row>
    <row r="45" spans="1:76" x14ac:dyDescent="0.25">
      <c r="A45" s="6">
        <v>37</v>
      </c>
      <c r="B45" s="237" t="s">
        <v>26</v>
      </c>
      <c r="C45" s="238">
        <v>42257</v>
      </c>
      <c r="D45" s="81"/>
      <c r="E45" s="81"/>
      <c r="F45" s="206"/>
      <c r="G45" s="206"/>
      <c r="H45" s="206" t="s">
        <v>241</v>
      </c>
      <c r="I45" s="208"/>
      <c r="J45" s="206"/>
      <c r="K45" s="206" t="s">
        <v>241</v>
      </c>
      <c r="L45" s="208"/>
      <c r="M45" s="3"/>
      <c r="N45" s="52"/>
      <c r="O45" s="211"/>
      <c r="P45" s="240"/>
      <c r="Q45" s="147"/>
      <c r="R45" s="223"/>
      <c r="S45" s="59"/>
      <c r="T45" s="54"/>
      <c r="U45" s="54"/>
      <c r="V45" s="54"/>
      <c r="W45" s="203">
        <v>3.125E-2</v>
      </c>
      <c r="X45" s="14">
        <v>2.9108796296296296E-2</v>
      </c>
      <c r="Y45" s="245" t="s">
        <v>270</v>
      </c>
      <c r="Z45" s="14">
        <v>0.20208333333333331</v>
      </c>
      <c r="AB45" s="223">
        <v>8.74</v>
      </c>
      <c r="AC45" s="26"/>
      <c r="AD45" s="26"/>
      <c r="AE45" s="64"/>
      <c r="AF45" s="64"/>
      <c r="AG45" s="157"/>
      <c r="AH45" s="223"/>
      <c r="AI45" s="217">
        <v>2.7777777777777776E-2</v>
      </c>
      <c r="AJ45" s="30" t="s">
        <v>259</v>
      </c>
      <c r="AK45" s="52">
        <v>2.7777777777777776E-2</v>
      </c>
      <c r="AL45" s="14">
        <v>0.18194444444444444</v>
      </c>
      <c r="AM45" s="147"/>
      <c r="AN45" s="223">
        <v>9.16</v>
      </c>
      <c r="AR45" s="147"/>
      <c r="AS45" s="147"/>
      <c r="AU45" s="220"/>
      <c r="AV45" s="11"/>
      <c r="AW45" s="11"/>
      <c r="AX45" s="50"/>
      <c r="AY45" s="50"/>
      <c r="AZ45" s="223"/>
      <c r="BA45" s="41">
        <f t="shared" si="2"/>
        <v>17.899999999999999</v>
      </c>
      <c r="BB45" s="63">
        <f t="shared" si="3"/>
        <v>5.6886574074074076E-2</v>
      </c>
      <c r="BC45" s="59"/>
      <c r="BD45"/>
      <c r="BE45" s="3"/>
      <c r="BM45"/>
      <c r="BQ45"/>
      <c r="BS45"/>
      <c r="BU45"/>
      <c r="BX45" s="37"/>
    </row>
    <row r="46" spans="1:76" x14ac:dyDescent="0.25">
      <c r="A46" s="6"/>
      <c r="B46" s="237" t="s">
        <v>18</v>
      </c>
      <c r="C46" s="238">
        <v>42259</v>
      </c>
      <c r="D46" s="81" t="s">
        <v>276</v>
      </c>
      <c r="E46" s="81"/>
      <c r="F46" s="206" t="s">
        <v>273</v>
      </c>
      <c r="G46" s="206"/>
      <c r="H46" s="206"/>
      <c r="I46" s="208"/>
      <c r="J46" s="206"/>
      <c r="K46" s="206"/>
      <c r="L46" s="208"/>
      <c r="M46" s="203">
        <v>2.0833333333333332E-2</v>
      </c>
      <c r="N46" s="52">
        <v>2.1527777777777781E-2</v>
      </c>
      <c r="O46" s="211" t="s">
        <v>225</v>
      </c>
      <c r="P46" s="240">
        <v>0.20347222222222219</v>
      </c>
      <c r="Q46" s="147"/>
      <c r="R46" s="223">
        <v>6.34</v>
      </c>
      <c r="S46" s="59"/>
      <c r="T46" s="54"/>
      <c r="U46" s="54"/>
      <c r="V46" s="54"/>
      <c r="W46" s="3"/>
      <c r="X46" s="14"/>
      <c r="Y46" s="245"/>
      <c r="Z46" s="14"/>
      <c r="AB46" s="223"/>
      <c r="AC46" s="26"/>
      <c r="AD46" s="26"/>
      <c r="AE46" s="64"/>
      <c r="AF46" s="64"/>
      <c r="AG46" s="157"/>
      <c r="AH46" s="223"/>
      <c r="AI46" s="26"/>
      <c r="AL46" s="14"/>
      <c r="AM46" s="147"/>
      <c r="AN46" s="223"/>
      <c r="AR46" s="147"/>
      <c r="AS46" s="147"/>
      <c r="AU46" s="220"/>
      <c r="AV46" s="11"/>
      <c r="AW46" s="11"/>
      <c r="AX46" s="50"/>
      <c r="AY46" s="50"/>
      <c r="AZ46" s="223"/>
      <c r="BA46" s="41">
        <f t="shared" si="2"/>
        <v>6.34</v>
      </c>
      <c r="BB46" s="63">
        <f t="shared" si="3"/>
        <v>2.1527777777777781E-2</v>
      </c>
      <c r="BC46" s="59"/>
      <c r="BD46"/>
      <c r="BE46" s="3"/>
      <c r="BM46"/>
      <c r="BQ46"/>
      <c r="BS46"/>
      <c r="BU46"/>
      <c r="BX46" s="37"/>
    </row>
    <row r="47" spans="1:76" x14ac:dyDescent="0.25">
      <c r="A47" s="6"/>
      <c r="B47" s="237" t="s">
        <v>29</v>
      </c>
      <c r="C47" s="238">
        <v>42258</v>
      </c>
      <c r="D47" s="81"/>
      <c r="E47" s="81"/>
      <c r="F47" s="206"/>
      <c r="G47" s="206"/>
      <c r="H47" s="206" t="s">
        <v>241</v>
      </c>
      <c r="I47" s="208" t="s">
        <v>245</v>
      </c>
      <c r="J47" s="206"/>
      <c r="K47" s="206"/>
      <c r="L47" s="208" t="s">
        <v>274</v>
      </c>
      <c r="M47" s="3"/>
      <c r="N47" s="52"/>
      <c r="O47" s="211"/>
      <c r="P47" s="240"/>
      <c r="Q47" s="147"/>
      <c r="R47" s="223"/>
      <c r="S47" s="59">
        <v>0.3</v>
      </c>
      <c r="T47" s="54"/>
      <c r="U47" s="14">
        <v>7.9861111111111105E-4</v>
      </c>
      <c r="V47" s="54"/>
      <c r="W47" s="203">
        <v>3.125E-2</v>
      </c>
      <c r="X47" s="14">
        <v>2.0162037037037037E-2</v>
      </c>
      <c r="Y47" s="245" t="s">
        <v>270</v>
      </c>
      <c r="Z47" s="14"/>
      <c r="AB47" s="223">
        <v>6.02</v>
      </c>
      <c r="AC47" s="26"/>
      <c r="AD47" s="26"/>
      <c r="AE47" s="64"/>
      <c r="AF47" s="64"/>
      <c r="AG47" s="157"/>
      <c r="AH47" s="223"/>
      <c r="AI47" s="26"/>
      <c r="AL47" s="14"/>
      <c r="AM47" s="147"/>
      <c r="AN47" s="223"/>
      <c r="AO47" s="234">
        <v>1.7187499999999998E-2</v>
      </c>
      <c r="AP47" t="s">
        <v>267</v>
      </c>
      <c r="AQ47" s="46">
        <v>6</v>
      </c>
      <c r="AR47" s="147"/>
      <c r="AS47" s="147"/>
      <c r="AT47" s="41">
        <v>1.57</v>
      </c>
      <c r="AU47" s="233">
        <v>5.208333333333333E-3</v>
      </c>
      <c r="AV47" s="26"/>
      <c r="AW47" s="26"/>
      <c r="AX47" s="64"/>
      <c r="AY47" s="64"/>
      <c r="AZ47" s="223"/>
      <c r="BA47" s="41">
        <f t="shared" si="2"/>
        <v>13.89</v>
      </c>
      <c r="BB47" s="63">
        <f t="shared" si="3"/>
        <v>4.3356481481481482E-2</v>
      </c>
      <c r="BC47" s="59"/>
      <c r="BD47"/>
      <c r="BE47" s="3"/>
      <c r="BM47"/>
      <c r="BQ47"/>
      <c r="BS47"/>
      <c r="BU47"/>
      <c r="BX47" s="37"/>
    </row>
    <row r="48" spans="1:76" x14ac:dyDescent="0.25">
      <c r="A48" s="56"/>
      <c r="B48" s="248" t="s">
        <v>27</v>
      </c>
      <c r="C48" s="249">
        <v>42260</v>
      </c>
      <c r="D48" s="85" t="s">
        <v>275</v>
      </c>
      <c r="E48" s="85"/>
      <c r="F48" s="207"/>
      <c r="G48" s="207" t="s">
        <v>241</v>
      </c>
      <c r="H48" s="207"/>
      <c r="I48" s="209"/>
      <c r="J48" s="207"/>
      <c r="K48" s="207"/>
      <c r="L48" s="209"/>
      <c r="M48" s="19"/>
      <c r="N48" s="22"/>
      <c r="O48" s="212"/>
      <c r="P48" s="242"/>
      <c r="Q48" s="156"/>
      <c r="R48" s="224"/>
      <c r="S48" s="57"/>
      <c r="T48" s="42"/>
      <c r="U48" s="42"/>
      <c r="V48" s="42"/>
      <c r="W48" s="222">
        <v>3.4722222222222224E-2</v>
      </c>
      <c r="X48" s="20">
        <v>0</v>
      </c>
      <c r="Y48" s="246" t="s">
        <v>270</v>
      </c>
      <c r="Z48" s="20"/>
      <c r="AA48" s="156"/>
      <c r="AB48" s="224"/>
      <c r="AC48" s="18"/>
      <c r="AD48" s="18"/>
      <c r="AE48" s="20"/>
      <c r="AF48" s="20"/>
      <c r="AG48" s="156"/>
      <c r="AH48" s="224"/>
      <c r="AI48" s="84"/>
      <c r="AJ48" s="31"/>
      <c r="AK48" s="42"/>
      <c r="AL48" s="20"/>
      <c r="AM48" s="156"/>
      <c r="AN48" s="224"/>
      <c r="AO48" s="18"/>
      <c r="AP48" s="18"/>
      <c r="AQ48" s="57"/>
      <c r="AR48" s="156"/>
      <c r="AS48" s="156"/>
      <c r="AT48" s="42"/>
      <c r="AU48" s="221"/>
      <c r="AV48" s="250">
        <v>6.5694444444444444E-2</v>
      </c>
      <c r="AW48" s="18" t="s">
        <v>261</v>
      </c>
      <c r="AX48" s="22">
        <v>0.18402777777777779</v>
      </c>
      <c r="AY48" s="20">
        <v>148</v>
      </c>
      <c r="AZ48" s="224">
        <v>21.45</v>
      </c>
      <c r="BA48" s="225">
        <f t="shared" si="2"/>
        <v>21.45</v>
      </c>
      <c r="BB48" s="58">
        <f t="shared" si="3"/>
        <v>6.5694444444444444E-2</v>
      </c>
      <c r="BC48" s="57">
        <f>SUM(BA42:BA48)</f>
        <v>93.600000000000009</v>
      </c>
      <c r="BD48" s="21">
        <f>SUM(BB21:BB48)</f>
        <v>1.2741898148148147</v>
      </c>
      <c r="BE48" s="19"/>
      <c r="BF48" s="36"/>
      <c r="BG48" s="18"/>
      <c r="BH48" s="36"/>
      <c r="BI48" s="18"/>
      <c r="BJ48" s="36"/>
      <c r="BK48" s="18"/>
      <c r="BL48" s="36"/>
      <c r="BM48" s="18"/>
      <c r="BN48" s="36"/>
      <c r="BO48" s="18"/>
      <c r="BP48" s="36"/>
      <c r="BQ48" s="18"/>
      <c r="BR48" s="36"/>
      <c r="BS48" s="18"/>
      <c r="BT48" s="36"/>
      <c r="BU48" s="18"/>
      <c r="BV48" s="36"/>
      <c r="BW48" s="18"/>
      <c r="BX48" s="38"/>
    </row>
    <row r="49" spans="1:76" x14ac:dyDescent="0.25">
      <c r="A49" s="10"/>
      <c r="B49" s="237" t="s">
        <v>0</v>
      </c>
      <c r="C49" s="238">
        <v>42261</v>
      </c>
      <c r="D49" s="81"/>
      <c r="E49" s="81"/>
      <c r="F49" s="206" t="s">
        <v>241</v>
      </c>
      <c r="G49" s="206"/>
      <c r="H49" s="206"/>
      <c r="I49" s="208"/>
      <c r="J49" s="206"/>
      <c r="K49" s="206"/>
      <c r="L49" s="208"/>
      <c r="M49" s="203">
        <v>2.7777777777777776E-2</v>
      </c>
      <c r="N49" s="52">
        <v>2.3483796296296298E-2</v>
      </c>
      <c r="O49" s="211" t="s">
        <v>225</v>
      </c>
      <c r="P49" s="240">
        <v>0.20347222222222219</v>
      </c>
      <c r="Q49" s="157"/>
      <c r="R49" s="223">
        <v>6.94</v>
      </c>
      <c r="S49" s="59"/>
      <c r="T49" s="54"/>
      <c r="U49" s="54"/>
      <c r="V49" s="54"/>
      <c r="W49" s="3"/>
      <c r="X49" s="52"/>
      <c r="Y49" s="217"/>
      <c r="Z49" s="52"/>
      <c r="AA49" s="157"/>
      <c r="AB49" s="223"/>
      <c r="AC49" s="26"/>
      <c r="AD49" s="26"/>
      <c r="AE49" s="64"/>
      <c r="AF49" s="64"/>
      <c r="AG49" s="157"/>
      <c r="AH49" s="223"/>
      <c r="AI49" s="26"/>
      <c r="AJ49" s="53"/>
      <c r="AK49" s="54"/>
      <c r="AL49" s="52"/>
      <c r="AM49" s="157"/>
      <c r="AN49" s="223"/>
      <c r="AO49" s="11"/>
      <c r="AP49" s="11"/>
      <c r="AQ49" s="59"/>
      <c r="AR49" s="157"/>
      <c r="AS49" s="157"/>
      <c r="AT49" s="54"/>
      <c r="AU49" s="220"/>
      <c r="AV49" s="11"/>
      <c r="AW49" s="11"/>
      <c r="AX49" s="50"/>
      <c r="AY49" s="50"/>
      <c r="AZ49" s="223"/>
      <c r="BA49" s="41">
        <f t="shared" si="2"/>
        <v>6.94</v>
      </c>
      <c r="BB49" s="63">
        <f t="shared" si="3"/>
        <v>2.3483796296296298E-2</v>
      </c>
      <c r="BC49" s="59"/>
      <c r="BD49" s="51"/>
      <c r="BE49" s="3">
        <v>78.099999999999994</v>
      </c>
      <c r="BF49" s="9">
        <f>$BE$7-BE49</f>
        <v>2.5</v>
      </c>
      <c r="BH49" s="9">
        <f>$BG$7-BG49</f>
        <v>91</v>
      </c>
      <c r="BJ49" s="9">
        <f>$BI$7-BI49</f>
        <v>98</v>
      </c>
      <c r="BL49" s="9">
        <f>$BK$7-BK49</f>
        <v>101</v>
      </c>
      <c r="BM49"/>
      <c r="BN49" s="9">
        <f>$BM$7-BM49</f>
        <v>60</v>
      </c>
      <c r="BP49" s="9">
        <f>$BO$7-BO49</f>
        <v>59</v>
      </c>
      <c r="BQ49"/>
      <c r="BR49" s="9">
        <f>$BQ$7-BQ49</f>
        <v>41.5</v>
      </c>
      <c r="BS49"/>
      <c r="BT49" s="9">
        <f>$BS$7-BS49</f>
        <v>42</v>
      </c>
      <c r="BU49"/>
      <c r="BV49" s="9">
        <f>$BU$7-BU49</f>
        <v>31.5</v>
      </c>
      <c r="BX49" s="37">
        <f>$BW$7-BW49</f>
        <v>33</v>
      </c>
    </row>
    <row r="50" spans="1:76" x14ac:dyDescent="0.25">
      <c r="A50" s="10"/>
      <c r="B50" s="237" t="s">
        <v>24</v>
      </c>
      <c r="C50" s="238">
        <v>42262</v>
      </c>
      <c r="D50" s="81"/>
      <c r="E50" s="81"/>
      <c r="F50" s="206"/>
      <c r="G50" s="206"/>
      <c r="H50" s="206" t="s">
        <v>241</v>
      </c>
      <c r="I50" s="208" t="s">
        <v>245</v>
      </c>
      <c r="J50" s="206"/>
      <c r="K50" s="206"/>
      <c r="L50" s="208" t="s">
        <v>264</v>
      </c>
      <c r="M50" s="3"/>
      <c r="N50" s="52"/>
      <c r="O50" s="211"/>
      <c r="P50" s="240"/>
      <c r="Q50" s="157"/>
      <c r="R50" s="223"/>
      <c r="S50" s="59">
        <v>0.3</v>
      </c>
      <c r="T50" s="240">
        <v>0.15069444444444444</v>
      </c>
      <c r="U50" s="14">
        <v>7.5231481481481471E-4</v>
      </c>
      <c r="V50" s="54"/>
      <c r="W50" s="203">
        <v>2.7777777777777776E-2</v>
      </c>
      <c r="X50" s="14">
        <v>1.1469907407407408E-2</v>
      </c>
      <c r="Y50" s="245" t="s">
        <v>270</v>
      </c>
      <c r="Z50" s="52">
        <v>0.19999999999999998</v>
      </c>
      <c r="AA50" s="157">
        <v>122</v>
      </c>
      <c r="AB50" s="223">
        <v>3.47</v>
      </c>
      <c r="AC50" s="26"/>
      <c r="AD50" s="26"/>
      <c r="AE50" s="64"/>
      <c r="AF50" s="64"/>
      <c r="AG50" s="157"/>
      <c r="AH50" s="223"/>
      <c r="AI50" s="26"/>
      <c r="AJ50" s="53"/>
      <c r="AK50" s="54"/>
      <c r="AL50" s="52"/>
      <c r="AM50" s="157"/>
      <c r="AN50" s="223"/>
      <c r="AO50" s="11"/>
      <c r="AP50" s="11"/>
      <c r="AQ50" s="59">
        <f>6*1.2</f>
        <v>7.1999999999999993</v>
      </c>
      <c r="AR50" s="157"/>
      <c r="AS50" s="157"/>
      <c r="AT50" s="54"/>
      <c r="AU50" s="220"/>
      <c r="AV50" s="11"/>
      <c r="AW50" s="11"/>
      <c r="AX50" s="50"/>
      <c r="AY50" s="50"/>
      <c r="AZ50" s="223"/>
      <c r="BA50" s="41">
        <f t="shared" si="2"/>
        <v>10.969999999999999</v>
      </c>
      <c r="BB50" s="63">
        <f t="shared" si="3"/>
        <v>1.2222222222222223E-2</v>
      </c>
      <c r="BC50" s="59"/>
      <c r="BD50" s="51"/>
      <c r="BE50" s="3"/>
      <c r="BM50"/>
      <c r="BQ50"/>
      <c r="BS50"/>
      <c r="BU50"/>
      <c r="BX50" s="37"/>
    </row>
    <row r="51" spans="1:76" x14ac:dyDescent="0.25">
      <c r="A51" s="10">
        <v>7</v>
      </c>
      <c r="B51" s="237" t="s">
        <v>15</v>
      </c>
      <c r="C51" s="238">
        <v>42263</v>
      </c>
      <c r="D51" s="238"/>
      <c r="E51" s="81"/>
      <c r="F51" s="206"/>
      <c r="G51" s="206"/>
      <c r="H51" s="206" t="s">
        <v>241</v>
      </c>
      <c r="I51" s="208"/>
      <c r="J51" s="206" t="s">
        <v>241</v>
      </c>
      <c r="K51" s="206"/>
      <c r="L51" s="208"/>
      <c r="M51" s="3"/>
      <c r="N51" s="52"/>
      <c r="O51" s="213"/>
      <c r="P51" s="243"/>
      <c r="Q51" s="157"/>
      <c r="R51" s="223"/>
      <c r="S51" s="59"/>
      <c r="T51" s="54"/>
      <c r="U51" s="54"/>
      <c r="V51" s="54"/>
      <c r="W51" s="203">
        <v>2.7777777777777776E-2</v>
      </c>
      <c r="X51" s="14">
        <v>2.7777777777777776E-2</v>
      </c>
      <c r="Y51" s="245" t="s">
        <v>270</v>
      </c>
      <c r="Z51" s="52">
        <v>0.20277777777777781</v>
      </c>
      <c r="AA51" s="157"/>
      <c r="AB51" s="223">
        <v>8.24</v>
      </c>
      <c r="AC51" s="51">
        <v>1.7361111111111112E-2</v>
      </c>
      <c r="AD51" s="211" t="s">
        <v>229</v>
      </c>
      <c r="AE51" s="52">
        <v>1.7361111111111112E-2</v>
      </c>
      <c r="AF51" s="52">
        <v>0.18263888888888891</v>
      </c>
      <c r="AG51" s="157"/>
      <c r="AH51" s="223">
        <v>5.7</v>
      </c>
      <c r="AI51" s="26"/>
      <c r="AJ51" s="53"/>
      <c r="AK51" s="54"/>
      <c r="AL51" s="50"/>
      <c r="AM51" s="157"/>
      <c r="AN51" s="223"/>
      <c r="AO51" s="11"/>
      <c r="AP51" s="11"/>
      <c r="AQ51" s="59"/>
      <c r="AR51" s="157"/>
      <c r="AS51" s="157"/>
      <c r="AT51" s="54"/>
      <c r="AU51" s="220"/>
      <c r="AV51" s="26"/>
      <c r="AW51" s="26"/>
      <c r="AX51" s="64"/>
      <c r="AY51" s="64"/>
      <c r="AZ51" s="223"/>
      <c r="BA51" s="41">
        <f t="shared" si="2"/>
        <v>13.940000000000001</v>
      </c>
      <c r="BB51" s="63">
        <f t="shared" si="3"/>
        <v>4.5138888888888888E-2</v>
      </c>
      <c r="BC51" s="59"/>
      <c r="BD51" s="51"/>
      <c r="BE51" s="3"/>
      <c r="BF51" s="55"/>
      <c r="BG51" s="11"/>
      <c r="BH51" s="55"/>
      <c r="BI51" s="11"/>
      <c r="BJ51" s="55"/>
      <c r="BK51" s="11"/>
      <c r="BL51" s="55"/>
      <c r="BM51" s="11"/>
      <c r="BN51" s="55"/>
      <c r="BO51" s="11"/>
      <c r="BP51" s="55"/>
      <c r="BQ51" s="11"/>
      <c r="BR51" s="55"/>
      <c r="BS51" s="11"/>
      <c r="BT51" s="55"/>
      <c r="BU51" s="11"/>
      <c r="BV51" s="55"/>
      <c r="BW51" s="11"/>
      <c r="BX51" s="37"/>
    </row>
    <row r="52" spans="1:76" x14ac:dyDescent="0.25">
      <c r="A52" s="10">
        <v>38</v>
      </c>
      <c r="B52" s="237" t="s">
        <v>26</v>
      </c>
      <c r="C52" s="238">
        <v>42264</v>
      </c>
      <c r="D52" s="81"/>
      <c r="E52" s="81"/>
      <c r="F52" s="206"/>
      <c r="G52" s="206"/>
      <c r="H52" s="206" t="s">
        <v>241</v>
      </c>
      <c r="I52" s="208"/>
      <c r="J52" s="206"/>
      <c r="K52" s="206" t="s">
        <v>241</v>
      </c>
      <c r="L52" s="208"/>
      <c r="M52" s="3"/>
      <c r="N52" s="52"/>
      <c r="O52" s="213"/>
      <c r="P52" s="243"/>
      <c r="Q52" s="157"/>
      <c r="R52" s="223"/>
      <c r="S52" s="59"/>
      <c r="T52" s="54"/>
      <c r="U52" s="54"/>
      <c r="V52" s="54"/>
      <c r="W52" s="203">
        <v>3.125E-2</v>
      </c>
      <c r="X52" s="14">
        <v>3.1261574074074074E-2</v>
      </c>
      <c r="Y52" s="245" t="s">
        <v>270</v>
      </c>
      <c r="Z52" s="52">
        <v>0.20138888888888887</v>
      </c>
      <c r="AA52" s="157"/>
      <c r="AB52" s="223">
        <v>9.23</v>
      </c>
      <c r="AC52" s="26"/>
      <c r="AD52" s="26"/>
      <c r="AE52" s="64"/>
      <c r="AF52" s="64"/>
      <c r="AG52" s="157"/>
      <c r="AH52" s="223"/>
      <c r="AI52" s="217">
        <v>1.3888888888888888E-2</v>
      </c>
      <c r="AJ52" s="30" t="s">
        <v>259</v>
      </c>
      <c r="AK52" s="52">
        <v>1.3888888888888888E-2</v>
      </c>
      <c r="AL52" s="14">
        <v>0.18263888888888891</v>
      </c>
      <c r="AM52" s="147"/>
      <c r="AN52" s="223">
        <v>4.5599999999999996</v>
      </c>
      <c r="AO52" s="11"/>
      <c r="AP52" s="11"/>
      <c r="AQ52" s="59"/>
      <c r="AR52" s="157"/>
      <c r="AS52" s="157"/>
      <c r="AT52" s="54"/>
      <c r="AU52" s="220"/>
      <c r="AV52" s="26"/>
      <c r="AW52" s="26"/>
      <c r="AX52" s="64"/>
      <c r="AY52" s="64"/>
      <c r="AZ52" s="223"/>
      <c r="BA52" s="41">
        <f t="shared" si="2"/>
        <v>13.79</v>
      </c>
      <c r="BB52" s="63">
        <f t="shared" si="3"/>
        <v>4.5150462962962962E-2</v>
      </c>
      <c r="BC52" s="59"/>
      <c r="BD52" s="51"/>
      <c r="BE52" s="3"/>
      <c r="BF52" s="55"/>
      <c r="BG52" s="11"/>
      <c r="BH52" s="55"/>
      <c r="BI52" s="11"/>
      <c r="BJ52" s="55"/>
      <c r="BK52" s="11"/>
      <c r="BL52" s="55"/>
      <c r="BM52" s="11"/>
      <c r="BN52" s="55"/>
      <c r="BO52" s="11"/>
      <c r="BP52" s="55"/>
      <c r="BQ52" s="11"/>
      <c r="BR52" s="55"/>
      <c r="BS52" s="11"/>
      <c r="BT52" s="55"/>
      <c r="BU52" s="11"/>
      <c r="BV52" s="55"/>
      <c r="BW52" s="11"/>
      <c r="BX52" s="37"/>
    </row>
    <row r="53" spans="1:76" x14ac:dyDescent="0.25">
      <c r="A53" s="10"/>
      <c r="B53" s="237" t="s">
        <v>18</v>
      </c>
      <c r="C53" s="238">
        <v>42266</v>
      </c>
      <c r="D53" s="81"/>
      <c r="E53" s="81"/>
      <c r="F53" s="206" t="s">
        <v>241</v>
      </c>
      <c r="G53" s="206"/>
      <c r="H53" s="206"/>
      <c r="I53" s="208"/>
      <c r="J53" s="206"/>
      <c r="K53" s="206"/>
      <c r="L53" s="208"/>
      <c r="M53" s="203">
        <v>2.0833333333333332E-2</v>
      </c>
      <c r="N53" s="52">
        <v>2.2118055555555557E-2</v>
      </c>
      <c r="O53" s="211" t="s">
        <v>225</v>
      </c>
      <c r="P53" s="243">
        <v>0.20833333333333334</v>
      </c>
      <c r="Q53" s="157"/>
      <c r="R53" s="223">
        <v>6.37</v>
      </c>
      <c r="S53" s="59"/>
      <c r="T53" s="54"/>
      <c r="U53" s="54"/>
      <c r="V53" s="54"/>
      <c r="W53" s="3"/>
      <c r="X53" s="14"/>
      <c r="Y53" s="217"/>
      <c r="Z53" s="52"/>
      <c r="AA53" s="157"/>
      <c r="AB53" s="223"/>
      <c r="AC53" s="26"/>
      <c r="AD53" s="26"/>
      <c r="AE53" s="64"/>
      <c r="AF53" s="64"/>
      <c r="AG53" s="157"/>
      <c r="AH53" s="223"/>
      <c r="AI53" s="26"/>
      <c r="AJ53" s="53"/>
      <c r="AK53" s="54"/>
      <c r="AL53" s="50"/>
      <c r="AM53" s="157"/>
      <c r="AN53" s="223"/>
      <c r="AO53" s="11"/>
      <c r="AP53" s="11"/>
      <c r="AQ53" s="59"/>
      <c r="AR53" s="157"/>
      <c r="AS53" s="157"/>
      <c r="AT53" s="54"/>
      <c r="AU53" s="220"/>
      <c r="AV53" s="26"/>
      <c r="AW53" s="26"/>
      <c r="AX53" s="64"/>
      <c r="AY53" s="64"/>
      <c r="AZ53" s="223"/>
      <c r="BA53" s="41">
        <f t="shared" si="2"/>
        <v>6.37</v>
      </c>
      <c r="BB53" s="63">
        <f t="shared" si="3"/>
        <v>2.2118055555555557E-2</v>
      </c>
      <c r="BC53" s="59"/>
      <c r="BD53" s="51"/>
      <c r="BE53" s="3"/>
      <c r="BF53" s="55"/>
      <c r="BG53" s="11"/>
      <c r="BH53" s="55"/>
      <c r="BI53" s="11"/>
      <c r="BJ53" s="55"/>
      <c r="BK53" s="11"/>
      <c r="BL53" s="55"/>
      <c r="BM53" s="11"/>
      <c r="BN53" s="55"/>
      <c r="BO53" s="11"/>
      <c r="BP53" s="55"/>
      <c r="BQ53" s="11"/>
      <c r="BR53" s="55"/>
      <c r="BS53" s="11"/>
      <c r="BT53" s="55"/>
      <c r="BU53" s="11"/>
      <c r="BV53" s="55"/>
      <c r="BW53" s="11"/>
      <c r="BX53" s="37"/>
    </row>
    <row r="54" spans="1:76" x14ac:dyDescent="0.25">
      <c r="A54" s="10"/>
      <c r="B54" s="237" t="s">
        <v>29</v>
      </c>
      <c r="C54" s="238">
        <v>42265</v>
      </c>
      <c r="D54" s="81"/>
      <c r="E54" s="81"/>
      <c r="F54" s="206"/>
      <c r="G54" s="206"/>
      <c r="H54" s="206" t="s">
        <v>241</v>
      </c>
      <c r="I54" s="208" t="s">
        <v>245</v>
      </c>
      <c r="J54" s="206"/>
      <c r="K54" s="206"/>
      <c r="L54" s="208" t="s">
        <v>150</v>
      </c>
      <c r="M54" s="3"/>
      <c r="N54" s="52"/>
      <c r="O54" s="213"/>
      <c r="P54" s="243"/>
      <c r="Q54" s="157"/>
      <c r="R54" s="223"/>
      <c r="S54" s="59">
        <v>0.3</v>
      </c>
      <c r="T54" s="54"/>
      <c r="U54" s="54"/>
      <c r="V54" s="54"/>
      <c r="W54" s="203">
        <v>2.7777777777777776E-2</v>
      </c>
      <c r="X54" s="14">
        <v>2.7777777777777776E-2</v>
      </c>
      <c r="Y54" s="245" t="s">
        <v>270</v>
      </c>
      <c r="Z54" s="52"/>
      <c r="AA54" s="157"/>
      <c r="AB54" s="223"/>
      <c r="AC54" s="26"/>
      <c r="AD54" s="26"/>
      <c r="AE54" s="64"/>
      <c r="AF54" s="64"/>
      <c r="AG54" s="157"/>
      <c r="AH54" s="223"/>
      <c r="AI54" s="26"/>
      <c r="AJ54" s="53"/>
      <c r="AK54" s="54"/>
      <c r="AL54" s="50"/>
      <c r="AM54" s="157"/>
      <c r="AN54" s="223"/>
      <c r="AO54" s="11"/>
      <c r="AP54" s="11"/>
      <c r="AQ54" s="59">
        <v>6</v>
      </c>
      <c r="AR54" s="157"/>
      <c r="AS54" s="157"/>
      <c r="AT54" s="54"/>
      <c r="AU54" s="220"/>
      <c r="AV54" s="26"/>
      <c r="AW54" s="26"/>
      <c r="AX54" s="64"/>
      <c r="AY54" s="64"/>
      <c r="AZ54" s="223"/>
      <c r="BA54" s="41">
        <f t="shared" si="2"/>
        <v>6.3</v>
      </c>
      <c r="BB54" s="63">
        <f t="shared" si="3"/>
        <v>2.7777777777777776E-2</v>
      </c>
      <c r="BC54" s="59"/>
      <c r="BD54" s="51"/>
      <c r="BE54" s="3"/>
      <c r="BF54" s="55"/>
      <c r="BG54" s="11"/>
      <c r="BH54" s="55"/>
      <c r="BI54" s="11"/>
      <c r="BJ54" s="55"/>
      <c r="BK54" s="11"/>
      <c r="BL54" s="55"/>
      <c r="BM54" s="11"/>
      <c r="BN54" s="55"/>
      <c r="BO54" s="11"/>
      <c r="BP54" s="55"/>
      <c r="BQ54" s="11"/>
      <c r="BR54" s="55"/>
      <c r="BS54" s="11"/>
      <c r="BT54" s="55"/>
      <c r="BU54" s="11"/>
      <c r="BV54" s="55"/>
      <c r="BW54" s="11"/>
      <c r="BX54" s="37"/>
    </row>
    <row r="55" spans="1:76" x14ac:dyDescent="0.25">
      <c r="A55" s="56"/>
      <c r="B55" s="248" t="s">
        <v>27</v>
      </c>
      <c r="C55" s="249">
        <v>42267</v>
      </c>
      <c r="D55" s="85"/>
      <c r="E55" s="85"/>
      <c r="F55" s="207"/>
      <c r="G55" s="207" t="s">
        <v>241</v>
      </c>
      <c r="H55" s="207"/>
      <c r="I55" s="209"/>
      <c r="J55" s="207"/>
      <c r="K55" s="207"/>
      <c r="L55" s="209"/>
      <c r="M55" s="19"/>
      <c r="N55" s="22"/>
      <c r="O55" s="212"/>
      <c r="P55" s="242"/>
      <c r="Q55" s="156"/>
      <c r="R55" s="224"/>
      <c r="S55" s="57"/>
      <c r="T55" s="42"/>
      <c r="U55" s="42"/>
      <c r="V55" s="42"/>
      <c r="W55" s="19"/>
      <c r="X55" s="20"/>
      <c r="Y55" s="246"/>
      <c r="Z55" s="20"/>
      <c r="AA55" s="156"/>
      <c r="AB55" s="224"/>
      <c r="AC55" s="18"/>
      <c r="AD55" s="18"/>
      <c r="AE55" s="20"/>
      <c r="AF55" s="20"/>
      <c r="AG55" s="156"/>
      <c r="AH55" s="224"/>
      <c r="AI55" s="84"/>
      <c r="AJ55" s="31"/>
      <c r="AK55" s="42"/>
      <c r="AL55" s="20"/>
      <c r="AM55" s="156"/>
      <c r="AN55" s="224"/>
      <c r="AO55" s="18"/>
      <c r="AP55" s="18"/>
      <c r="AQ55" s="57"/>
      <c r="AR55" s="156"/>
      <c r="AS55" s="156"/>
      <c r="AT55" s="42"/>
      <c r="AU55" s="221"/>
      <c r="AV55" s="250">
        <v>6.598379629629629E-2</v>
      </c>
      <c r="AW55" s="18" t="s">
        <v>261</v>
      </c>
      <c r="AX55" s="22">
        <v>0.19305555555555554</v>
      </c>
      <c r="AY55" s="20">
        <v>148</v>
      </c>
      <c r="AZ55" s="224">
        <v>20.47</v>
      </c>
      <c r="BA55" s="225">
        <f t="shared" si="2"/>
        <v>20.47</v>
      </c>
      <c r="BB55" s="58">
        <f t="shared" si="3"/>
        <v>6.598379629629629E-2</v>
      </c>
      <c r="BC55" s="57">
        <f>SUM(BA49:BA55)</f>
        <v>78.78</v>
      </c>
      <c r="BD55" s="21">
        <f>SUM(BB49:BB55)</f>
        <v>0.24187500000000001</v>
      </c>
      <c r="BE55" s="19"/>
      <c r="BF55" s="36"/>
      <c r="BG55" s="18"/>
      <c r="BH55" s="36"/>
      <c r="BI55" s="18"/>
      <c r="BJ55" s="36"/>
      <c r="BK55" s="18"/>
      <c r="BL55" s="36"/>
      <c r="BM55" s="18"/>
      <c r="BN55" s="36"/>
      <c r="BO55" s="18"/>
      <c r="BP55" s="36"/>
      <c r="BQ55" s="18"/>
      <c r="BR55" s="36"/>
      <c r="BS55" s="18"/>
      <c r="BT55" s="36"/>
      <c r="BU55" s="18"/>
      <c r="BV55" s="36"/>
      <c r="BW55" s="18"/>
      <c r="BX55" s="38"/>
    </row>
    <row r="56" spans="1:76" x14ac:dyDescent="0.25">
      <c r="A56" s="10"/>
      <c r="B56" s="237" t="s">
        <v>0</v>
      </c>
      <c r="C56" s="238">
        <v>42268</v>
      </c>
      <c r="D56" s="81"/>
      <c r="E56" s="81"/>
      <c r="F56" s="206" t="s">
        <v>241</v>
      </c>
      <c r="G56" s="206"/>
      <c r="H56" s="206"/>
      <c r="I56" s="208"/>
      <c r="J56" s="206"/>
      <c r="K56" s="206"/>
      <c r="L56" s="208"/>
      <c r="M56" s="203">
        <v>2.7777777777777776E-2</v>
      </c>
      <c r="N56" s="52">
        <v>2.8310185185185185E-2</v>
      </c>
      <c r="O56" s="211" t="s">
        <v>225</v>
      </c>
      <c r="P56" s="240">
        <v>0.2076388888888889</v>
      </c>
      <c r="Q56" s="175"/>
      <c r="R56" s="223">
        <v>8.19</v>
      </c>
      <c r="S56" s="59"/>
      <c r="T56" s="54"/>
      <c r="U56" s="54"/>
      <c r="V56" s="54"/>
      <c r="W56" s="3"/>
      <c r="X56" s="52"/>
      <c r="Y56" s="217"/>
      <c r="Z56" s="52"/>
      <c r="AA56" s="157"/>
      <c r="AB56" s="223"/>
      <c r="AC56" s="26"/>
      <c r="AD56" s="26"/>
      <c r="AE56" s="64"/>
      <c r="AF56" s="64"/>
      <c r="AG56" s="157"/>
      <c r="AH56" s="223"/>
      <c r="AI56" s="26"/>
      <c r="AJ56" s="53"/>
      <c r="AK56" s="54"/>
      <c r="AL56" s="52"/>
      <c r="AM56" s="157"/>
      <c r="AN56" s="223"/>
      <c r="AO56" s="11"/>
      <c r="AP56" s="11"/>
      <c r="AQ56" s="59"/>
      <c r="AR56" s="157"/>
      <c r="AS56" s="157"/>
      <c r="AT56" s="54"/>
      <c r="AU56" s="220"/>
      <c r="AV56" s="11"/>
      <c r="AW56" s="11"/>
      <c r="AX56" s="50"/>
      <c r="AY56" s="50"/>
      <c r="AZ56" s="223"/>
      <c r="BA56" s="41">
        <f t="shared" si="2"/>
        <v>8.19</v>
      </c>
      <c r="BB56" s="63">
        <f t="shared" si="3"/>
        <v>2.8310185185185185E-2</v>
      </c>
      <c r="BC56" s="59"/>
      <c r="BD56" s="51"/>
      <c r="BE56" s="3">
        <v>77.3</v>
      </c>
      <c r="BF56" s="9">
        <f>$BE$7-BE56</f>
        <v>3.2999999999999972</v>
      </c>
      <c r="BG56">
        <v>87</v>
      </c>
      <c r="BH56" s="9">
        <f>$BG$7-BG56</f>
        <v>4</v>
      </c>
      <c r="BI56">
        <v>95.5</v>
      </c>
      <c r="BJ56" s="9">
        <f>$BI$7-BI56</f>
        <v>2.5</v>
      </c>
      <c r="BK56">
        <v>97</v>
      </c>
      <c r="BL56" s="9">
        <f>$BK$7-BK56</f>
        <v>4</v>
      </c>
      <c r="BM56">
        <v>58</v>
      </c>
      <c r="BN56" s="9">
        <f>$BM$7-BM56</f>
        <v>2</v>
      </c>
      <c r="BO56">
        <v>57</v>
      </c>
      <c r="BP56" s="9">
        <f>$BO$7-BO56</f>
        <v>2</v>
      </c>
      <c r="BQ56">
        <v>42.5</v>
      </c>
      <c r="BR56" s="9">
        <f>$BQ$7-BQ56</f>
        <v>-1</v>
      </c>
      <c r="BS56">
        <v>42.5</v>
      </c>
      <c r="BT56" s="9">
        <f>$BS$7-BS56</f>
        <v>-0.5</v>
      </c>
      <c r="BU56">
        <v>32</v>
      </c>
      <c r="BV56" s="9">
        <f>$BU$7-BU56</f>
        <v>-0.5</v>
      </c>
      <c r="BW56">
        <v>31</v>
      </c>
      <c r="BX56" s="37">
        <f>$BW$7-BW56</f>
        <v>2</v>
      </c>
    </row>
    <row r="57" spans="1:76" x14ac:dyDescent="0.25">
      <c r="A57" s="10"/>
      <c r="B57" s="237" t="s">
        <v>24</v>
      </c>
      <c r="C57" s="238">
        <v>42269</v>
      </c>
      <c r="D57" s="81"/>
      <c r="E57" s="81"/>
      <c r="F57" s="206"/>
      <c r="G57" s="206"/>
      <c r="H57" s="206" t="s">
        <v>241</v>
      </c>
      <c r="I57" s="208" t="s">
        <v>245</v>
      </c>
      <c r="J57" s="206"/>
      <c r="K57" s="206"/>
      <c r="L57" s="208" t="s">
        <v>277</v>
      </c>
      <c r="M57" s="3"/>
      <c r="N57" s="52"/>
      <c r="O57" s="211"/>
      <c r="P57" s="240"/>
      <c r="Q57" s="157"/>
      <c r="R57" s="223"/>
      <c r="S57" s="59">
        <v>0.3</v>
      </c>
      <c r="T57" s="54"/>
      <c r="U57" s="54"/>
      <c r="V57" s="54"/>
      <c r="W57" s="3"/>
      <c r="X57" s="50"/>
      <c r="Y57" s="217"/>
      <c r="Z57" s="52"/>
      <c r="AA57" s="157"/>
      <c r="AB57" s="223"/>
      <c r="AC57" s="26"/>
      <c r="AD57" s="26"/>
      <c r="AE57" s="64"/>
      <c r="AF57" s="64"/>
      <c r="AG57" s="157"/>
      <c r="AH57" s="223"/>
      <c r="AI57" s="26"/>
      <c r="AJ57" s="53"/>
      <c r="AK57" s="54"/>
      <c r="AL57" s="50"/>
      <c r="AM57" s="157"/>
      <c r="AN57" s="223"/>
      <c r="AO57" s="11"/>
      <c r="AP57" s="51"/>
      <c r="AQ57" s="59"/>
      <c r="AR57" s="157"/>
      <c r="AS57" s="157"/>
      <c r="AT57" s="54"/>
      <c r="AU57" s="220"/>
      <c r="AV57" s="26"/>
      <c r="AW57" s="26"/>
      <c r="AX57" s="64"/>
      <c r="AY57" s="64"/>
      <c r="AZ57" s="223"/>
      <c r="BA57" s="41">
        <f t="shared" si="2"/>
        <v>0.3</v>
      </c>
      <c r="BB57" s="63">
        <f t="shared" si="3"/>
        <v>0</v>
      </c>
      <c r="BC57" s="59"/>
      <c r="BD57" s="51"/>
      <c r="BE57" s="3"/>
      <c r="BM57"/>
      <c r="BQ57"/>
      <c r="BS57"/>
      <c r="BU57"/>
      <c r="BX57" s="37"/>
    </row>
    <row r="58" spans="1:76" x14ac:dyDescent="0.25">
      <c r="A58" s="10">
        <v>8</v>
      </c>
      <c r="B58" s="237" t="s">
        <v>15</v>
      </c>
      <c r="C58" s="238">
        <v>42270</v>
      </c>
      <c r="D58" s="81"/>
      <c r="E58" s="81"/>
      <c r="F58" s="206"/>
      <c r="G58" s="206"/>
      <c r="H58" s="206" t="s">
        <v>241</v>
      </c>
      <c r="I58" s="208"/>
      <c r="J58" s="206" t="s">
        <v>241</v>
      </c>
      <c r="K58" s="206"/>
      <c r="L58" s="208"/>
      <c r="M58" s="3"/>
      <c r="N58" s="52"/>
      <c r="O58" s="213"/>
      <c r="P58" s="243"/>
      <c r="Q58" s="157"/>
      <c r="R58" s="223"/>
      <c r="S58" s="59"/>
      <c r="T58" s="54"/>
      <c r="U58" s="54"/>
      <c r="V58" s="54"/>
      <c r="W58" s="3"/>
      <c r="X58" s="14"/>
      <c r="Y58" s="217"/>
      <c r="Z58" s="52"/>
      <c r="AA58" s="157"/>
      <c r="AB58" s="223"/>
      <c r="AC58" s="26"/>
      <c r="AD58" s="26"/>
      <c r="AE58" s="64"/>
      <c r="AF58" s="64"/>
      <c r="AG58" s="157"/>
      <c r="AH58" s="223"/>
      <c r="AI58" s="26"/>
      <c r="AJ58" s="53"/>
      <c r="AK58" s="54"/>
      <c r="AL58" s="50"/>
      <c r="AM58" s="157"/>
      <c r="AN58" s="223"/>
      <c r="AO58" s="11"/>
      <c r="AP58" s="11"/>
      <c r="AQ58" s="59"/>
      <c r="AR58" s="157"/>
      <c r="AS58" s="157"/>
      <c r="AT58" s="54"/>
      <c r="AU58" s="220"/>
      <c r="AV58" s="26"/>
      <c r="AW58" s="26"/>
      <c r="AX58" s="64"/>
      <c r="AY58" s="64"/>
      <c r="AZ58" s="223"/>
      <c r="BA58" s="41">
        <f t="shared" si="2"/>
        <v>0</v>
      </c>
      <c r="BB58" s="63">
        <f t="shared" si="3"/>
        <v>0</v>
      </c>
      <c r="BC58" s="59"/>
      <c r="BD58" s="51"/>
      <c r="BE58" s="3"/>
      <c r="BF58" s="55"/>
      <c r="BG58" s="11"/>
      <c r="BH58" s="55"/>
      <c r="BI58" s="11"/>
      <c r="BJ58" s="55"/>
      <c r="BK58" s="11"/>
      <c r="BL58" s="55"/>
      <c r="BM58" s="11"/>
      <c r="BN58" s="55"/>
      <c r="BO58" s="11"/>
      <c r="BP58" s="55"/>
      <c r="BQ58" s="11"/>
      <c r="BR58" s="55"/>
      <c r="BS58" s="11"/>
      <c r="BT58" s="55"/>
      <c r="BU58" s="11"/>
      <c r="BV58" s="55"/>
      <c r="BW58" s="11"/>
      <c r="BX58" s="37"/>
    </row>
    <row r="59" spans="1:76" x14ac:dyDescent="0.25">
      <c r="A59" s="10">
        <v>39</v>
      </c>
      <c r="B59" s="237" t="s">
        <v>26</v>
      </c>
      <c r="C59" s="238">
        <v>42271</v>
      </c>
      <c r="D59" s="81"/>
      <c r="E59" s="81"/>
      <c r="F59" s="206"/>
      <c r="G59" s="206"/>
      <c r="H59" s="206" t="s">
        <v>241</v>
      </c>
      <c r="I59" s="208"/>
      <c r="J59" s="206"/>
      <c r="K59" s="206" t="s">
        <v>241</v>
      </c>
      <c r="L59" s="208"/>
      <c r="M59" s="3"/>
      <c r="N59" s="52"/>
      <c r="O59" s="213"/>
      <c r="P59" s="243"/>
      <c r="Q59" s="157"/>
      <c r="R59" s="223"/>
      <c r="S59" s="59"/>
      <c r="T59" s="54"/>
      <c r="U59" s="54"/>
      <c r="V59" s="54"/>
      <c r="W59" s="3"/>
      <c r="X59" s="14"/>
      <c r="Y59" s="217"/>
      <c r="Z59" s="52"/>
      <c r="AA59" s="157"/>
      <c r="AB59" s="223"/>
      <c r="AC59" s="26"/>
      <c r="AD59" s="26"/>
      <c r="AE59" s="64"/>
      <c r="AF59" s="64"/>
      <c r="AG59" s="157"/>
      <c r="AH59" s="223"/>
      <c r="AI59" s="26"/>
      <c r="AJ59" s="53"/>
      <c r="AK59" s="54"/>
      <c r="AL59" s="50"/>
      <c r="AM59" s="157"/>
      <c r="AN59" s="223"/>
      <c r="AO59" s="11"/>
      <c r="AP59" s="11"/>
      <c r="AQ59" s="59"/>
      <c r="AR59" s="157"/>
      <c r="AS59" s="157"/>
      <c r="AT59" s="54"/>
      <c r="AU59" s="220"/>
      <c r="AV59" s="26"/>
      <c r="AW59" s="26"/>
      <c r="AX59" s="64"/>
      <c r="AY59" s="64"/>
      <c r="AZ59" s="223"/>
      <c r="BA59" s="41">
        <f t="shared" si="2"/>
        <v>0</v>
      </c>
      <c r="BB59" s="63">
        <f t="shared" si="3"/>
        <v>0</v>
      </c>
      <c r="BC59" s="59"/>
      <c r="BD59" s="51"/>
      <c r="BE59" s="3"/>
      <c r="BF59" s="55"/>
      <c r="BG59" s="11"/>
      <c r="BH59" s="55"/>
      <c r="BI59" s="11"/>
      <c r="BJ59" s="55"/>
      <c r="BK59" s="11"/>
      <c r="BL59" s="55"/>
      <c r="BM59" s="11"/>
      <c r="BN59" s="55"/>
      <c r="BO59" s="11"/>
      <c r="BP59" s="55"/>
      <c r="BQ59" s="11"/>
      <c r="BR59" s="55"/>
      <c r="BS59" s="11"/>
      <c r="BT59" s="55"/>
      <c r="BU59" s="11"/>
      <c r="BV59" s="55"/>
      <c r="BW59" s="11"/>
      <c r="BX59" s="37"/>
    </row>
    <row r="60" spans="1:76" x14ac:dyDescent="0.25">
      <c r="A60" s="10"/>
      <c r="B60" s="237" t="s">
        <v>18</v>
      </c>
      <c r="C60" s="238">
        <v>42273</v>
      </c>
      <c r="D60" s="81"/>
      <c r="E60" s="81"/>
      <c r="F60" s="206" t="s">
        <v>241</v>
      </c>
      <c r="G60" s="206"/>
      <c r="H60" s="206"/>
      <c r="I60" s="208"/>
      <c r="J60" s="206"/>
      <c r="K60" s="206"/>
      <c r="L60" s="208"/>
      <c r="M60" s="203">
        <v>2.0833333333333332E-2</v>
      </c>
      <c r="N60" s="52"/>
      <c r="O60" s="211" t="s">
        <v>225</v>
      </c>
      <c r="P60" s="243"/>
      <c r="Q60" s="157"/>
      <c r="R60" s="223"/>
      <c r="S60" s="59"/>
      <c r="T60" s="54"/>
      <c r="U60" s="54"/>
      <c r="V60" s="54"/>
      <c r="W60" s="3"/>
      <c r="X60" s="14"/>
      <c r="Y60" s="217"/>
      <c r="Z60" s="52"/>
      <c r="AA60" s="157"/>
      <c r="AB60" s="223"/>
      <c r="AC60" s="26"/>
      <c r="AD60" s="26"/>
      <c r="AE60" s="64"/>
      <c r="AF60" s="64"/>
      <c r="AG60" s="157"/>
      <c r="AH60" s="223"/>
      <c r="AI60" s="26"/>
      <c r="AJ60" s="53"/>
      <c r="AK60" s="54"/>
      <c r="AL60" s="50"/>
      <c r="AM60" s="157"/>
      <c r="AN60" s="223"/>
      <c r="AO60" s="11"/>
      <c r="AP60" s="11"/>
      <c r="AQ60" s="59"/>
      <c r="AR60" s="157"/>
      <c r="AS60" s="157"/>
      <c r="AT60" s="54"/>
      <c r="AU60" s="220"/>
      <c r="AV60" s="26"/>
      <c r="AW60" s="26"/>
      <c r="AX60" s="64"/>
      <c r="AY60" s="64"/>
      <c r="AZ60" s="223"/>
      <c r="BA60" s="41">
        <f t="shared" si="2"/>
        <v>0</v>
      </c>
      <c r="BB60" s="63">
        <f t="shared" si="3"/>
        <v>0</v>
      </c>
      <c r="BC60" s="59"/>
      <c r="BD60" s="51"/>
      <c r="BE60" s="3"/>
      <c r="BF60" s="55"/>
      <c r="BG60" s="11"/>
      <c r="BH60" s="55"/>
      <c r="BI60" s="11"/>
      <c r="BJ60" s="55"/>
      <c r="BK60" s="11"/>
      <c r="BL60" s="55"/>
      <c r="BM60" s="11"/>
      <c r="BN60" s="55"/>
      <c r="BO60" s="11"/>
      <c r="BP60" s="55"/>
      <c r="BQ60" s="11"/>
      <c r="BR60" s="55"/>
      <c r="BS60" s="11"/>
      <c r="BT60" s="55"/>
      <c r="BU60" s="11"/>
      <c r="BV60" s="55"/>
      <c r="BW60" s="11"/>
      <c r="BX60" s="37"/>
    </row>
    <row r="61" spans="1:76" x14ac:dyDescent="0.25">
      <c r="A61" s="10"/>
      <c r="B61" s="237" t="s">
        <v>29</v>
      </c>
      <c r="C61" s="238">
        <v>42272</v>
      </c>
      <c r="D61" s="81"/>
      <c r="E61" s="81"/>
      <c r="F61" s="206"/>
      <c r="G61" s="206"/>
      <c r="H61" s="206" t="s">
        <v>241</v>
      </c>
      <c r="I61" s="208" t="s">
        <v>245</v>
      </c>
      <c r="J61" s="206"/>
      <c r="K61" s="206"/>
      <c r="L61" s="208" t="s">
        <v>258</v>
      </c>
      <c r="M61" s="3"/>
      <c r="N61" s="52"/>
      <c r="O61" s="213"/>
      <c r="P61" s="243"/>
      <c r="Q61" s="157"/>
      <c r="R61" s="223"/>
      <c r="S61" s="59">
        <v>0.3</v>
      </c>
      <c r="T61" s="54"/>
      <c r="U61" s="54"/>
      <c r="V61" s="54"/>
      <c r="W61" s="3"/>
      <c r="X61" s="14"/>
      <c r="Y61" s="217"/>
      <c r="Z61" s="52"/>
      <c r="AA61" s="157"/>
      <c r="AB61" s="223"/>
      <c r="AC61" s="26"/>
      <c r="AD61" s="26"/>
      <c r="AE61" s="64"/>
      <c r="AF61" s="64"/>
      <c r="AG61" s="157"/>
      <c r="AH61" s="223"/>
      <c r="AI61" s="26"/>
      <c r="AJ61" s="53"/>
      <c r="AK61" s="54"/>
      <c r="AL61" s="50"/>
      <c r="AM61" s="157"/>
      <c r="AN61" s="223"/>
      <c r="AO61" s="11"/>
      <c r="AP61" s="11"/>
      <c r="AQ61" s="59"/>
      <c r="AR61" s="157"/>
      <c r="AS61" s="157"/>
      <c r="AT61" s="54"/>
      <c r="AU61" s="220"/>
      <c r="AV61" s="26"/>
      <c r="AW61" s="26"/>
      <c r="AX61" s="64"/>
      <c r="AY61" s="64"/>
      <c r="AZ61" s="223"/>
      <c r="BA61" s="41">
        <f t="shared" si="2"/>
        <v>0.3</v>
      </c>
      <c r="BB61" s="63">
        <f t="shared" si="3"/>
        <v>0</v>
      </c>
      <c r="BC61" s="59"/>
      <c r="BD61" s="51"/>
      <c r="BE61" s="3"/>
      <c r="BF61" s="55"/>
      <c r="BG61" s="11"/>
      <c r="BH61" s="55"/>
      <c r="BI61" s="11"/>
      <c r="BJ61" s="55"/>
      <c r="BK61" s="11"/>
      <c r="BL61" s="55"/>
      <c r="BM61" s="11"/>
      <c r="BN61" s="55"/>
      <c r="BO61" s="11"/>
      <c r="BP61" s="55"/>
      <c r="BQ61" s="11"/>
      <c r="BR61" s="55"/>
      <c r="BS61" s="11"/>
      <c r="BT61" s="55"/>
      <c r="BU61" s="11"/>
      <c r="BV61" s="55"/>
      <c r="BW61" s="11"/>
      <c r="BX61" s="37"/>
    </row>
    <row r="62" spans="1:76" x14ac:dyDescent="0.25">
      <c r="A62" s="56"/>
      <c r="B62" s="248" t="s">
        <v>27</v>
      </c>
      <c r="C62" s="249">
        <v>42274</v>
      </c>
      <c r="D62" s="85"/>
      <c r="E62" s="85"/>
      <c r="F62" s="207"/>
      <c r="G62" s="207" t="s">
        <v>241</v>
      </c>
      <c r="H62" s="207"/>
      <c r="I62" s="209"/>
      <c r="J62" s="207"/>
      <c r="K62" s="207"/>
      <c r="L62" s="209"/>
      <c r="M62" s="19"/>
      <c r="N62" s="22"/>
      <c r="O62" s="212"/>
      <c r="P62" s="242"/>
      <c r="Q62" s="156"/>
      <c r="R62" s="224"/>
      <c r="S62" s="57"/>
      <c r="T62" s="42"/>
      <c r="U62" s="42"/>
      <c r="V62" s="42"/>
      <c r="W62" s="19"/>
      <c r="X62" s="20"/>
      <c r="Y62" s="246"/>
      <c r="Z62" s="20"/>
      <c r="AA62" s="156"/>
      <c r="AB62" s="224"/>
      <c r="AC62" s="18"/>
      <c r="AD62" s="18"/>
      <c r="AE62" s="20"/>
      <c r="AF62" s="20"/>
      <c r="AG62" s="156"/>
      <c r="AH62" s="224"/>
      <c r="AI62" s="84"/>
      <c r="AJ62" s="31"/>
      <c r="AK62" s="42"/>
      <c r="AL62" s="20"/>
      <c r="AM62" s="156"/>
      <c r="AN62" s="224"/>
      <c r="AO62" s="18"/>
      <c r="AP62" s="18"/>
      <c r="AQ62" s="57"/>
      <c r="AR62" s="156"/>
      <c r="AS62" s="156"/>
      <c r="AT62" s="42"/>
      <c r="AU62" s="221"/>
      <c r="AV62" s="18"/>
      <c r="AW62" s="18"/>
      <c r="AX62" s="20"/>
      <c r="AY62" s="20"/>
      <c r="AZ62" s="224"/>
      <c r="BA62" s="225">
        <f t="shared" si="2"/>
        <v>0</v>
      </c>
      <c r="BB62" s="58">
        <f t="shared" si="3"/>
        <v>0</v>
      </c>
      <c r="BC62" s="57">
        <f>SUM(BA56:BA62)</f>
        <v>8.7900000000000009</v>
      </c>
      <c r="BD62" s="21">
        <f>SUM(BB56:BB62)</f>
        <v>2.8310185185185185E-2</v>
      </c>
      <c r="BE62" s="19"/>
      <c r="BF62" s="36"/>
      <c r="BG62" s="18"/>
      <c r="BH62" s="36"/>
      <c r="BI62" s="18"/>
      <c r="BJ62" s="36"/>
      <c r="BK62" s="18"/>
      <c r="BL62" s="36"/>
      <c r="BM62" s="18"/>
      <c r="BN62" s="36"/>
      <c r="BO62" s="18"/>
      <c r="BP62" s="36"/>
      <c r="BQ62" s="18"/>
      <c r="BR62" s="36"/>
      <c r="BS62" s="18"/>
      <c r="BT62" s="36"/>
      <c r="BU62" s="18"/>
      <c r="BV62" s="36"/>
      <c r="BW62" s="18"/>
      <c r="BX62" s="38"/>
    </row>
    <row r="63" spans="1:76" x14ac:dyDescent="0.25">
      <c r="A63" s="10"/>
      <c r="B63" s="237" t="s">
        <v>0</v>
      </c>
      <c r="C63" s="238">
        <v>42275</v>
      </c>
      <c r="D63" s="81"/>
      <c r="E63" s="81"/>
      <c r="F63" s="206" t="s">
        <v>241</v>
      </c>
      <c r="G63" s="206"/>
      <c r="H63" s="206"/>
      <c r="I63" s="208"/>
      <c r="J63" s="206"/>
      <c r="K63" s="206"/>
      <c r="L63" s="208"/>
      <c r="M63" s="3"/>
      <c r="N63" s="52"/>
      <c r="O63" s="213"/>
      <c r="P63" s="243"/>
      <c r="Q63" s="157"/>
      <c r="R63" s="223"/>
      <c r="S63" s="59"/>
      <c r="T63" s="54"/>
      <c r="U63" s="54"/>
      <c r="V63" s="54"/>
      <c r="W63" s="3"/>
      <c r="X63" s="50"/>
      <c r="Y63" s="247"/>
      <c r="Z63" s="50"/>
      <c r="AA63" s="157"/>
      <c r="AB63" s="223"/>
      <c r="AC63" s="11"/>
      <c r="AD63" s="11"/>
      <c r="AE63" s="50"/>
      <c r="AF63" s="50"/>
      <c r="AG63" s="157"/>
      <c r="AH63" s="223"/>
      <c r="AI63" s="26"/>
      <c r="AJ63" s="53"/>
      <c r="AK63" s="54"/>
      <c r="AL63" s="50"/>
      <c r="AM63" s="157"/>
      <c r="AN63" s="223"/>
      <c r="AO63" s="11"/>
      <c r="AP63" s="11"/>
      <c r="AQ63" s="59"/>
      <c r="AR63" s="157"/>
      <c r="AS63" s="157"/>
      <c r="AT63" s="54"/>
      <c r="AU63" s="220"/>
      <c r="AV63" s="11"/>
      <c r="AW63" s="11"/>
      <c r="AX63" s="50"/>
      <c r="AY63" s="50"/>
      <c r="AZ63" s="223"/>
      <c r="BA63" s="41">
        <f t="shared" si="2"/>
        <v>0</v>
      </c>
      <c r="BB63" s="63">
        <f t="shared" si="3"/>
        <v>0</v>
      </c>
      <c r="BC63" s="59"/>
      <c r="BD63" s="51"/>
      <c r="BE63" s="3"/>
      <c r="BF63" s="9">
        <f>$BE$7-BE63</f>
        <v>80.599999999999994</v>
      </c>
      <c r="BH63" s="9">
        <f>$BG$7-BG63</f>
        <v>91</v>
      </c>
      <c r="BJ63" s="9">
        <f>$BI$7-BI63</f>
        <v>98</v>
      </c>
      <c r="BL63" s="9">
        <f>$BK$7-BK63</f>
        <v>101</v>
      </c>
      <c r="BM63"/>
      <c r="BN63" s="9">
        <f>$BM$7-BM63</f>
        <v>60</v>
      </c>
      <c r="BP63" s="9">
        <f>$BO$7-BO63</f>
        <v>59</v>
      </c>
      <c r="BQ63"/>
      <c r="BR63" s="9">
        <f>$BQ$7-BQ63</f>
        <v>41.5</v>
      </c>
      <c r="BS63"/>
      <c r="BT63" s="9">
        <f>$BS$7-BS63</f>
        <v>42</v>
      </c>
      <c r="BU63"/>
      <c r="BV63" s="9">
        <f>$BU$7-BU63</f>
        <v>31.5</v>
      </c>
      <c r="BX63" s="37">
        <f>$BW$7-BW63</f>
        <v>33</v>
      </c>
    </row>
    <row r="64" spans="1:76" x14ac:dyDescent="0.25">
      <c r="A64" s="10"/>
      <c r="B64" s="237" t="s">
        <v>24</v>
      </c>
      <c r="C64" s="238">
        <v>42276</v>
      </c>
      <c r="D64" s="81"/>
      <c r="E64" s="81"/>
      <c r="F64" s="206"/>
      <c r="G64" s="206"/>
      <c r="H64" s="206" t="s">
        <v>241</v>
      </c>
      <c r="I64" s="208" t="s">
        <v>245</v>
      </c>
      <c r="J64" s="206"/>
      <c r="K64" s="206"/>
      <c r="L64" s="208" t="s">
        <v>272</v>
      </c>
      <c r="M64" s="3"/>
      <c r="N64" s="52"/>
      <c r="O64" s="213"/>
      <c r="P64" s="243"/>
      <c r="Q64" s="157"/>
      <c r="R64" s="223"/>
      <c r="S64" s="59"/>
      <c r="T64" s="54"/>
      <c r="U64" s="54"/>
      <c r="V64" s="54"/>
      <c r="W64" s="3"/>
      <c r="X64" s="52"/>
      <c r="Y64" s="217"/>
      <c r="Z64" s="52"/>
      <c r="AA64" s="157"/>
      <c r="AB64" s="223"/>
      <c r="AC64" s="26"/>
      <c r="AD64" s="26"/>
      <c r="AE64" s="64"/>
      <c r="AF64" s="64"/>
      <c r="AG64" s="157"/>
      <c r="AH64" s="223"/>
      <c r="AI64" s="26"/>
      <c r="AJ64" s="53"/>
      <c r="AK64" s="54"/>
      <c r="AL64" s="50"/>
      <c r="AM64" s="157"/>
      <c r="AN64" s="223"/>
      <c r="AO64" s="11"/>
      <c r="AP64" s="51"/>
      <c r="AQ64" s="59"/>
      <c r="AR64" s="157"/>
      <c r="AS64" s="157"/>
      <c r="AT64" s="54"/>
      <c r="AU64" s="220"/>
      <c r="AV64" s="26"/>
      <c r="AW64" s="26"/>
      <c r="AX64" s="64"/>
      <c r="AY64" s="64"/>
      <c r="AZ64" s="223"/>
      <c r="BA64" s="41">
        <f t="shared" si="2"/>
        <v>0</v>
      </c>
      <c r="BB64" s="63">
        <f t="shared" si="3"/>
        <v>0</v>
      </c>
      <c r="BC64" s="59"/>
      <c r="BD64" s="51"/>
      <c r="BE64" s="3"/>
      <c r="BM64"/>
      <c r="BQ64"/>
      <c r="BS64"/>
      <c r="BU64"/>
      <c r="BX64" s="37"/>
    </row>
    <row r="65" spans="1:76" x14ac:dyDescent="0.25">
      <c r="A65" s="10">
        <v>9</v>
      </c>
      <c r="B65" s="237" t="s">
        <v>15</v>
      </c>
      <c r="C65" s="238">
        <v>42277</v>
      </c>
      <c r="D65" s="81"/>
      <c r="E65" s="81"/>
      <c r="F65" s="206"/>
      <c r="G65" s="206"/>
      <c r="H65" s="206" t="s">
        <v>241</v>
      </c>
      <c r="I65" s="208"/>
      <c r="J65" s="206" t="s">
        <v>241</v>
      </c>
      <c r="K65" s="206"/>
      <c r="L65" s="208"/>
      <c r="M65" s="3"/>
      <c r="N65" s="52"/>
      <c r="O65" s="213"/>
      <c r="P65" s="243"/>
      <c r="Q65" s="157"/>
      <c r="R65" s="223"/>
      <c r="S65" s="59"/>
      <c r="T65" s="54"/>
      <c r="U65" s="54"/>
      <c r="V65" s="54"/>
      <c r="W65" s="3"/>
      <c r="X65" s="14"/>
      <c r="Y65" s="217"/>
      <c r="Z65" s="52"/>
      <c r="AA65" s="157"/>
      <c r="AB65" s="223"/>
      <c r="AC65" s="26"/>
      <c r="AD65" s="26"/>
      <c r="AE65" s="64"/>
      <c r="AF65" s="64"/>
      <c r="AG65" s="157"/>
      <c r="AH65" s="223"/>
      <c r="AI65" s="26"/>
      <c r="AJ65" s="53"/>
      <c r="AK65" s="54"/>
      <c r="AL65" s="52"/>
      <c r="AM65" s="157"/>
      <c r="AN65" s="223"/>
      <c r="AO65" s="11"/>
      <c r="AP65" s="11"/>
      <c r="AQ65" s="59"/>
      <c r="AR65" s="157"/>
      <c r="AS65" s="157"/>
      <c r="AT65" s="54"/>
      <c r="AU65" s="220"/>
      <c r="AV65" s="11"/>
      <c r="AW65" s="11"/>
      <c r="AX65" s="50"/>
      <c r="AY65" s="50"/>
      <c r="AZ65" s="223"/>
      <c r="BA65" s="41">
        <f t="shared" si="2"/>
        <v>0</v>
      </c>
      <c r="BB65" s="63">
        <f t="shared" si="3"/>
        <v>0</v>
      </c>
      <c r="BC65" s="59"/>
      <c r="BD65" s="51"/>
      <c r="BE65" s="3"/>
      <c r="BF65" s="55"/>
      <c r="BG65" s="11"/>
      <c r="BH65" s="55"/>
      <c r="BI65" s="11"/>
      <c r="BJ65" s="55"/>
      <c r="BK65" s="11"/>
      <c r="BL65" s="55"/>
      <c r="BM65" s="11"/>
      <c r="BN65" s="55"/>
      <c r="BO65" s="11"/>
      <c r="BP65" s="55"/>
      <c r="BQ65" s="11"/>
      <c r="BR65" s="55"/>
      <c r="BS65" s="11"/>
      <c r="BT65" s="55"/>
      <c r="BU65" s="11"/>
      <c r="BV65" s="55"/>
      <c r="BW65" s="11"/>
      <c r="BX65" s="37"/>
    </row>
    <row r="66" spans="1:76" x14ac:dyDescent="0.25">
      <c r="A66" s="10">
        <v>40</v>
      </c>
      <c r="B66" s="237" t="s">
        <v>26</v>
      </c>
      <c r="C66" s="238">
        <v>42278</v>
      </c>
      <c r="D66" s="81"/>
      <c r="E66" s="81"/>
      <c r="F66" s="206"/>
      <c r="G66" s="206"/>
      <c r="H66" s="206" t="s">
        <v>241</v>
      </c>
      <c r="I66" s="208"/>
      <c r="J66" s="206"/>
      <c r="K66" s="206" t="s">
        <v>241</v>
      </c>
      <c r="L66" s="208"/>
      <c r="M66" s="3"/>
      <c r="N66" s="52"/>
      <c r="O66" s="213"/>
      <c r="P66" s="243"/>
      <c r="Q66" s="157"/>
      <c r="R66" s="223"/>
      <c r="S66" s="59"/>
      <c r="T66" s="54"/>
      <c r="U66" s="54"/>
      <c r="V66" s="54"/>
      <c r="W66" s="3"/>
      <c r="X66" s="14"/>
      <c r="Y66" s="217"/>
      <c r="Z66" s="52"/>
      <c r="AA66" s="157"/>
      <c r="AB66" s="223"/>
      <c r="AC66" s="26"/>
      <c r="AD66" s="26"/>
      <c r="AE66" s="64"/>
      <c r="AF66" s="64"/>
      <c r="AG66" s="157"/>
      <c r="AH66" s="223"/>
      <c r="AI66" s="26"/>
      <c r="AJ66" s="53"/>
      <c r="AK66" s="54"/>
      <c r="AL66" s="52"/>
      <c r="AM66" s="157"/>
      <c r="AN66" s="223"/>
      <c r="AO66" s="11"/>
      <c r="AP66" s="11"/>
      <c r="AQ66" s="59"/>
      <c r="AR66" s="157"/>
      <c r="AS66" s="157"/>
      <c r="AT66" s="54"/>
      <c r="AU66" s="220"/>
      <c r="AV66" s="11"/>
      <c r="AW66" s="11"/>
      <c r="AX66" s="50"/>
      <c r="AY66" s="50"/>
      <c r="AZ66" s="223"/>
      <c r="BA66" s="41">
        <f t="shared" si="2"/>
        <v>0</v>
      </c>
      <c r="BB66" s="63">
        <f t="shared" si="3"/>
        <v>0</v>
      </c>
      <c r="BC66" s="59"/>
      <c r="BD66" s="51"/>
      <c r="BE66" s="3"/>
      <c r="BF66" s="55"/>
      <c r="BG66" s="11"/>
      <c r="BH66" s="55"/>
      <c r="BI66" s="11"/>
      <c r="BJ66" s="55"/>
      <c r="BK66" s="11"/>
      <c r="BL66" s="55"/>
      <c r="BM66" s="11"/>
      <c r="BN66" s="55"/>
      <c r="BO66" s="11"/>
      <c r="BP66" s="55"/>
      <c r="BQ66" s="11"/>
      <c r="BR66" s="55"/>
      <c r="BS66" s="11"/>
      <c r="BT66" s="55"/>
      <c r="BU66" s="11"/>
      <c r="BV66" s="55"/>
      <c r="BW66" s="11"/>
      <c r="BX66" s="37"/>
    </row>
    <row r="67" spans="1:76" x14ac:dyDescent="0.25">
      <c r="A67" s="10"/>
      <c r="B67" s="237" t="s">
        <v>18</v>
      </c>
      <c r="C67" s="238">
        <v>42280</v>
      </c>
      <c r="D67" s="81"/>
      <c r="E67" s="81"/>
      <c r="F67" s="206" t="s">
        <v>241</v>
      </c>
      <c r="G67" s="206"/>
      <c r="H67" s="206"/>
      <c r="I67" s="208"/>
      <c r="J67" s="206"/>
      <c r="K67" s="206"/>
      <c r="L67" s="208"/>
      <c r="M67" s="3"/>
      <c r="N67" s="52"/>
      <c r="O67" s="213"/>
      <c r="P67" s="243"/>
      <c r="Q67" s="157"/>
      <c r="R67" s="223"/>
      <c r="S67" s="59"/>
      <c r="T67" s="54"/>
      <c r="U67" s="54"/>
      <c r="V67" s="54"/>
      <c r="W67" s="3"/>
      <c r="X67" s="14"/>
      <c r="Y67" s="217"/>
      <c r="Z67" s="52"/>
      <c r="AA67" s="157"/>
      <c r="AB67" s="223"/>
      <c r="AC67" s="26"/>
      <c r="AD67" s="26"/>
      <c r="AE67" s="64"/>
      <c r="AF67" s="64"/>
      <c r="AG67" s="157"/>
      <c r="AH67" s="223"/>
      <c r="AI67" s="26"/>
      <c r="AJ67" s="53"/>
      <c r="AK67" s="54"/>
      <c r="AL67" s="52"/>
      <c r="AM67" s="157"/>
      <c r="AN67" s="223"/>
      <c r="AO67" s="11"/>
      <c r="AP67" s="11"/>
      <c r="AQ67" s="59"/>
      <c r="AR67" s="157"/>
      <c r="AS67" s="157"/>
      <c r="AT67" s="54"/>
      <c r="AU67" s="220"/>
      <c r="AV67" s="11"/>
      <c r="AW67" s="11"/>
      <c r="AX67" s="50"/>
      <c r="AY67" s="50"/>
      <c r="AZ67" s="223"/>
      <c r="BA67" s="41">
        <f t="shared" si="2"/>
        <v>0</v>
      </c>
      <c r="BB67" s="63">
        <f t="shared" si="3"/>
        <v>0</v>
      </c>
      <c r="BC67" s="59"/>
      <c r="BD67" s="51"/>
      <c r="BE67" s="3"/>
      <c r="BF67" s="55"/>
      <c r="BG67" s="11"/>
      <c r="BH67" s="55"/>
      <c r="BI67" s="11"/>
      <c r="BJ67" s="55"/>
      <c r="BK67" s="11"/>
      <c r="BL67" s="55"/>
      <c r="BM67" s="11"/>
      <c r="BN67" s="55"/>
      <c r="BO67" s="11"/>
      <c r="BP67" s="55"/>
      <c r="BQ67" s="11"/>
      <c r="BR67" s="55"/>
      <c r="BS67" s="11"/>
      <c r="BT67" s="55"/>
      <c r="BU67" s="11"/>
      <c r="BV67" s="55"/>
      <c r="BW67" s="11"/>
      <c r="BX67" s="37"/>
    </row>
    <row r="68" spans="1:76" x14ac:dyDescent="0.25">
      <c r="A68" s="10"/>
      <c r="B68" s="237" t="s">
        <v>29</v>
      </c>
      <c r="C68" s="238">
        <v>42279</v>
      </c>
      <c r="D68" s="81"/>
      <c r="E68" s="81"/>
      <c r="F68" s="206"/>
      <c r="G68" s="206"/>
      <c r="H68" s="206" t="s">
        <v>241</v>
      </c>
      <c r="I68" s="208" t="s">
        <v>245</v>
      </c>
      <c r="J68" s="206"/>
      <c r="K68" s="206"/>
      <c r="L68" s="208" t="s">
        <v>262</v>
      </c>
      <c r="M68" s="3"/>
      <c r="N68" s="52"/>
      <c r="O68" s="213"/>
      <c r="P68" s="243"/>
      <c r="Q68" s="157"/>
      <c r="R68" s="223"/>
      <c r="S68" s="59"/>
      <c r="T68" s="54"/>
      <c r="U68" s="54"/>
      <c r="V68" s="54"/>
      <c r="W68" s="3"/>
      <c r="X68" s="14"/>
      <c r="Y68" s="217"/>
      <c r="Z68" s="52"/>
      <c r="AA68" s="157"/>
      <c r="AB68" s="223"/>
      <c r="AC68" s="26"/>
      <c r="AD68" s="26"/>
      <c r="AE68" s="64"/>
      <c r="AF68" s="64"/>
      <c r="AG68" s="157"/>
      <c r="AH68" s="223"/>
      <c r="AI68" s="26"/>
      <c r="AJ68" s="53"/>
      <c r="AK68" s="54"/>
      <c r="AL68" s="52"/>
      <c r="AM68" s="157"/>
      <c r="AN68" s="223"/>
      <c r="AO68" s="11"/>
      <c r="AP68" s="11"/>
      <c r="AQ68" s="59"/>
      <c r="AR68" s="157"/>
      <c r="AS68" s="157"/>
      <c r="AT68" s="54"/>
      <c r="AU68" s="220"/>
      <c r="AV68" s="11"/>
      <c r="AW68" s="11"/>
      <c r="AX68" s="50"/>
      <c r="AY68" s="50"/>
      <c r="AZ68" s="223"/>
      <c r="BA68" s="41">
        <f t="shared" si="2"/>
        <v>0</v>
      </c>
      <c r="BB68" s="63">
        <f t="shared" si="3"/>
        <v>0</v>
      </c>
      <c r="BC68" s="59"/>
      <c r="BD68" s="51"/>
      <c r="BE68" s="3"/>
      <c r="BF68" s="55"/>
      <c r="BG68" s="11"/>
      <c r="BH68" s="55"/>
      <c r="BI68" s="11"/>
      <c r="BJ68" s="55"/>
      <c r="BK68" s="11"/>
      <c r="BL68" s="55"/>
      <c r="BM68" s="11"/>
      <c r="BN68" s="55"/>
      <c r="BO68" s="11"/>
      <c r="BP68" s="55"/>
      <c r="BQ68" s="11"/>
      <c r="BR68" s="55"/>
      <c r="BS68" s="11"/>
      <c r="BT68" s="55"/>
      <c r="BU68" s="11"/>
      <c r="BV68" s="55"/>
      <c r="BW68" s="11"/>
      <c r="BX68" s="37"/>
    </row>
    <row r="69" spans="1:76" x14ac:dyDescent="0.25">
      <c r="A69" s="56"/>
      <c r="B69" s="248" t="s">
        <v>27</v>
      </c>
      <c r="C69" s="249">
        <v>42281</v>
      </c>
      <c r="D69" s="85" t="s">
        <v>122</v>
      </c>
      <c r="E69" s="85"/>
      <c r="F69" s="207"/>
      <c r="G69" s="207" t="s">
        <v>241</v>
      </c>
      <c r="H69" s="207"/>
      <c r="I69" s="209"/>
      <c r="J69" s="207"/>
      <c r="K69" s="207"/>
      <c r="L69" s="209"/>
      <c r="M69" s="19"/>
      <c r="N69" s="22"/>
      <c r="O69" s="212"/>
      <c r="P69" s="242"/>
      <c r="Q69" s="156"/>
      <c r="R69" s="224"/>
      <c r="S69" s="57"/>
      <c r="T69" s="42"/>
      <c r="U69" s="42"/>
      <c r="V69" s="42"/>
      <c r="W69" s="19"/>
      <c r="X69" s="20"/>
      <c r="Y69" s="246"/>
      <c r="Z69" s="20"/>
      <c r="AA69" s="156"/>
      <c r="AB69" s="224"/>
      <c r="AC69" s="18"/>
      <c r="AD69" s="18"/>
      <c r="AE69" s="20"/>
      <c r="AF69" s="20"/>
      <c r="AG69" s="156"/>
      <c r="AH69" s="224"/>
      <c r="AI69" s="84"/>
      <c r="AJ69" s="31"/>
      <c r="AK69" s="42"/>
      <c r="AL69" s="20"/>
      <c r="AM69" s="156"/>
      <c r="AN69" s="224"/>
      <c r="AO69" s="18"/>
      <c r="AP69" s="18"/>
      <c r="AQ69" s="57"/>
      <c r="AR69" s="156"/>
      <c r="AS69" s="156"/>
      <c r="AT69" s="42"/>
      <c r="AU69" s="221"/>
      <c r="AV69" s="18"/>
      <c r="AW69" s="18"/>
      <c r="AX69" s="20"/>
      <c r="AY69" s="20"/>
      <c r="AZ69" s="224"/>
      <c r="BA69" s="225">
        <f t="shared" si="2"/>
        <v>0</v>
      </c>
      <c r="BB69" s="58">
        <f t="shared" si="3"/>
        <v>0</v>
      </c>
      <c r="BC69" s="57">
        <f>SUM(BA63:BA69)</f>
        <v>0</v>
      </c>
      <c r="BD69" s="21">
        <f>SUM(BB63:BB69)</f>
        <v>0</v>
      </c>
      <c r="BE69" s="19"/>
      <c r="BF69" s="36"/>
      <c r="BG69" s="18"/>
      <c r="BH69" s="36"/>
      <c r="BI69" s="18"/>
      <c r="BJ69" s="36"/>
      <c r="BK69" s="18"/>
      <c r="BL69" s="36"/>
      <c r="BM69" s="18"/>
      <c r="BN69" s="36"/>
      <c r="BO69" s="18"/>
      <c r="BP69" s="36"/>
      <c r="BQ69" s="18"/>
      <c r="BR69" s="36"/>
      <c r="BS69" s="18"/>
      <c r="BT69" s="36"/>
      <c r="BU69" s="18"/>
      <c r="BV69" s="36"/>
      <c r="BW69" s="18"/>
      <c r="BX69" s="38"/>
    </row>
    <row r="70" spans="1:76" x14ac:dyDescent="0.25">
      <c r="A70" s="10"/>
      <c r="B70" s="237" t="s">
        <v>0</v>
      </c>
      <c r="C70" s="238">
        <v>42282</v>
      </c>
      <c r="D70" s="81"/>
      <c r="E70" s="81"/>
      <c r="F70" s="206" t="s">
        <v>241</v>
      </c>
      <c r="G70" s="206"/>
      <c r="H70" s="206"/>
      <c r="I70" s="208"/>
      <c r="J70" s="206"/>
      <c r="K70" s="206"/>
      <c r="L70" s="208"/>
      <c r="M70" s="3"/>
      <c r="N70" s="52"/>
      <c r="O70" s="213"/>
      <c r="P70" s="243"/>
      <c r="Q70" s="157"/>
      <c r="R70" s="223"/>
      <c r="S70" s="59"/>
      <c r="T70" s="54"/>
      <c r="U70" s="54"/>
      <c r="V70" s="54"/>
      <c r="W70" s="3"/>
      <c r="X70" s="52"/>
      <c r="Y70" s="217"/>
      <c r="Z70" s="52"/>
      <c r="AA70" s="157"/>
      <c r="AB70" s="223"/>
      <c r="AC70" s="26"/>
      <c r="AD70" s="26"/>
      <c r="AE70" s="64"/>
      <c r="AF70" s="64"/>
      <c r="AG70" s="157"/>
      <c r="AH70" s="223"/>
      <c r="AI70" s="26"/>
      <c r="AJ70" s="53"/>
      <c r="AK70" s="54"/>
      <c r="AL70" s="50"/>
      <c r="AM70" s="157"/>
      <c r="AN70" s="223"/>
      <c r="AO70" s="11"/>
      <c r="AP70" s="11"/>
      <c r="AQ70" s="59"/>
      <c r="AR70" s="157"/>
      <c r="AS70" s="157"/>
      <c r="AT70" s="54"/>
      <c r="AU70" s="220"/>
      <c r="AV70" s="26"/>
      <c r="AW70" s="26"/>
      <c r="AX70" s="64"/>
      <c r="AY70" s="64"/>
      <c r="AZ70" s="223"/>
      <c r="BA70" s="41">
        <f t="shared" si="2"/>
        <v>0</v>
      </c>
      <c r="BB70" s="63">
        <f t="shared" si="3"/>
        <v>0</v>
      </c>
      <c r="BC70" s="59"/>
      <c r="BD70" s="51"/>
      <c r="BE70" s="3"/>
      <c r="BF70" s="9">
        <f>$BE$7-BE70</f>
        <v>80.599999999999994</v>
      </c>
      <c r="BH70" s="9">
        <f>$BG$7-BG70</f>
        <v>91</v>
      </c>
      <c r="BJ70" s="9">
        <f>$BI$7-BI70</f>
        <v>98</v>
      </c>
      <c r="BL70" s="9">
        <f>$BK$7-BK70</f>
        <v>101</v>
      </c>
      <c r="BM70"/>
      <c r="BN70" s="9">
        <f>$BM$7-BM70</f>
        <v>60</v>
      </c>
      <c r="BP70" s="9">
        <f>$BO$7-BO70</f>
        <v>59</v>
      </c>
      <c r="BQ70"/>
      <c r="BR70" s="9">
        <f>$BQ$7-BQ70</f>
        <v>41.5</v>
      </c>
      <c r="BS70"/>
      <c r="BT70" s="9">
        <f>$BS$7-BS70</f>
        <v>42</v>
      </c>
      <c r="BU70"/>
      <c r="BV70" s="9">
        <f>$BU$7-BU70</f>
        <v>31.5</v>
      </c>
      <c r="BX70" s="37">
        <f>$BW$7-BW70</f>
        <v>33</v>
      </c>
    </row>
    <row r="71" spans="1:76" x14ac:dyDescent="0.25">
      <c r="A71" s="10"/>
      <c r="B71" s="237" t="s">
        <v>24</v>
      </c>
      <c r="C71" s="238">
        <v>42283</v>
      </c>
      <c r="D71" s="81"/>
      <c r="E71" s="81"/>
      <c r="F71" s="206"/>
      <c r="G71" s="206"/>
      <c r="H71" s="206" t="s">
        <v>241</v>
      </c>
      <c r="I71" s="208" t="s">
        <v>245</v>
      </c>
      <c r="J71" s="206"/>
      <c r="K71" s="206"/>
      <c r="L71" s="208" t="s">
        <v>28</v>
      </c>
      <c r="M71" s="3"/>
      <c r="N71" s="52"/>
      <c r="O71" s="213"/>
      <c r="P71" s="243"/>
      <c r="Q71" s="157"/>
      <c r="R71" s="223"/>
      <c r="S71" s="59"/>
      <c r="T71" s="54"/>
      <c r="U71" s="54"/>
      <c r="V71" s="54"/>
      <c r="W71" s="3"/>
      <c r="X71" s="52"/>
      <c r="Y71" s="217"/>
      <c r="Z71" s="52"/>
      <c r="AA71" s="157"/>
      <c r="AB71" s="223"/>
      <c r="AC71" s="26"/>
      <c r="AD71" s="26"/>
      <c r="AE71" s="64"/>
      <c r="AF71" s="64"/>
      <c r="AG71" s="157"/>
      <c r="AH71" s="223"/>
      <c r="AI71" s="26"/>
      <c r="AJ71" s="53"/>
      <c r="AK71" s="54"/>
      <c r="AL71" s="50"/>
      <c r="AM71" s="157"/>
      <c r="AN71" s="223"/>
      <c r="AO71" s="11"/>
      <c r="AP71" s="51"/>
      <c r="AQ71" s="59"/>
      <c r="AR71" s="157"/>
      <c r="AS71" s="157"/>
      <c r="AT71" s="54"/>
      <c r="AU71" s="220"/>
      <c r="AV71" s="26"/>
      <c r="AW71" s="26"/>
      <c r="AX71" s="64"/>
      <c r="AY71" s="64"/>
      <c r="AZ71" s="223"/>
      <c r="BA71" s="41">
        <f t="shared" ref="BA71:BA102" si="4">R71+S71+AB71+AH71+AN71+AQ71+AT71+AZ71</f>
        <v>0</v>
      </c>
      <c r="BB71" s="63">
        <f t="shared" ref="BB71:BB102" si="5">N71+U71+X71+AE71+AK71+AO71+AU71+AV71</f>
        <v>0</v>
      </c>
      <c r="BC71" s="59"/>
      <c r="BD71" s="51"/>
      <c r="BE71" s="3"/>
      <c r="BM71"/>
      <c r="BQ71"/>
      <c r="BS71"/>
      <c r="BU71"/>
      <c r="BX71" s="37"/>
    </row>
    <row r="72" spans="1:76" x14ac:dyDescent="0.25">
      <c r="A72" s="10">
        <v>10</v>
      </c>
      <c r="B72" s="237" t="s">
        <v>15</v>
      </c>
      <c r="C72" s="238">
        <v>42284</v>
      </c>
      <c r="D72" s="81"/>
      <c r="E72" s="81"/>
      <c r="F72" s="206"/>
      <c r="G72" s="206"/>
      <c r="H72" s="206" t="s">
        <v>241</v>
      </c>
      <c r="I72" s="208"/>
      <c r="J72" s="206" t="s">
        <v>241</v>
      </c>
      <c r="K72" s="206"/>
      <c r="L72" s="208"/>
      <c r="M72" s="3"/>
      <c r="N72" s="52"/>
      <c r="O72" s="213"/>
      <c r="P72" s="243"/>
      <c r="Q72" s="157"/>
      <c r="R72" s="223"/>
      <c r="S72" s="59"/>
      <c r="T72" s="54"/>
      <c r="U72" s="54"/>
      <c r="V72" s="54"/>
      <c r="W72" s="3"/>
      <c r="X72" s="52"/>
      <c r="Y72" s="217"/>
      <c r="Z72" s="52"/>
      <c r="AA72" s="157"/>
      <c r="AB72" s="223"/>
      <c r="AC72" s="26"/>
      <c r="AD72" s="26"/>
      <c r="AE72" s="64"/>
      <c r="AF72" s="64"/>
      <c r="AG72" s="157"/>
      <c r="AH72" s="223"/>
      <c r="AI72" s="26"/>
      <c r="AJ72" s="53"/>
      <c r="AK72" s="54"/>
      <c r="AL72" s="50"/>
      <c r="AM72" s="157"/>
      <c r="AN72" s="223"/>
      <c r="AO72" s="11"/>
      <c r="AP72" s="11"/>
      <c r="AQ72" s="59"/>
      <c r="AR72" s="157"/>
      <c r="AS72" s="157"/>
      <c r="AT72" s="54"/>
      <c r="AU72" s="220"/>
      <c r="AV72" s="26"/>
      <c r="AW72" s="26"/>
      <c r="AX72" s="64"/>
      <c r="AY72" s="64"/>
      <c r="AZ72" s="223"/>
      <c r="BA72" s="41">
        <f t="shared" si="4"/>
        <v>0</v>
      </c>
      <c r="BB72" s="63">
        <f t="shared" si="5"/>
        <v>0</v>
      </c>
      <c r="BC72" s="59"/>
      <c r="BD72" s="51"/>
      <c r="BE72" s="3"/>
      <c r="BF72" s="55"/>
      <c r="BG72" s="11"/>
      <c r="BH72" s="55"/>
      <c r="BI72" s="11"/>
      <c r="BJ72" s="55"/>
      <c r="BK72" s="11"/>
      <c r="BL72" s="55"/>
      <c r="BM72" s="11"/>
      <c r="BN72" s="55"/>
      <c r="BO72" s="11"/>
      <c r="BP72" s="55"/>
      <c r="BQ72" s="11"/>
      <c r="BR72" s="55"/>
      <c r="BS72" s="11"/>
      <c r="BT72" s="55"/>
      <c r="BU72" s="11"/>
      <c r="BV72" s="55"/>
      <c r="BW72" s="11"/>
      <c r="BX72" s="37"/>
    </row>
    <row r="73" spans="1:76" x14ac:dyDescent="0.25">
      <c r="A73" s="10">
        <v>41</v>
      </c>
      <c r="B73" s="237" t="s">
        <v>26</v>
      </c>
      <c r="C73" s="238">
        <v>42285</v>
      </c>
      <c r="D73" s="81"/>
      <c r="E73" s="81"/>
      <c r="F73" s="206"/>
      <c r="G73" s="206"/>
      <c r="H73" s="206" t="s">
        <v>241</v>
      </c>
      <c r="I73" s="208"/>
      <c r="J73" s="206"/>
      <c r="K73" s="206" t="s">
        <v>241</v>
      </c>
      <c r="L73" s="208"/>
      <c r="M73" s="3"/>
      <c r="N73" s="52"/>
      <c r="O73" s="213"/>
      <c r="P73" s="243"/>
      <c r="Q73" s="157"/>
      <c r="R73" s="223"/>
      <c r="S73" s="59"/>
      <c r="T73" s="54"/>
      <c r="U73" s="54"/>
      <c r="V73" s="54"/>
      <c r="W73" s="3"/>
      <c r="X73" s="52"/>
      <c r="Y73" s="217"/>
      <c r="Z73" s="52"/>
      <c r="AA73" s="157"/>
      <c r="AB73" s="223"/>
      <c r="AC73" s="26"/>
      <c r="AD73" s="26"/>
      <c r="AE73" s="64"/>
      <c r="AF73" s="64"/>
      <c r="AG73" s="157"/>
      <c r="AH73" s="223"/>
      <c r="AI73" s="26"/>
      <c r="AJ73" s="53"/>
      <c r="AK73" s="54"/>
      <c r="AL73" s="50"/>
      <c r="AM73" s="157"/>
      <c r="AN73" s="223"/>
      <c r="AO73" s="11"/>
      <c r="AP73" s="11"/>
      <c r="AQ73" s="59"/>
      <c r="AR73" s="157"/>
      <c r="AS73" s="157"/>
      <c r="AT73" s="54"/>
      <c r="AU73" s="220"/>
      <c r="AV73" s="26"/>
      <c r="AW73" s="26"/>
      <c r="AX73" s="64"/>
      <c r="AY73" s="64"/>
      <c r="AZ73" s="223"/>
      <c r="BA73" s="41">
        <f t="shared" si="4"/>
        <v>0</v>
      </c>
      <c r="BB73" s="63">
        <f t="shared" si="5"/>
        <v>0</v>
      </c>
      <c r="BC73" s="59"/>
      <c r="BD73" s="51"/>
      <c r="BE73" s="3"/>
      <c r="BF73" s="55"/>
      <c r="BG73" s="11"/>
      <c r="BH73" s="55"/>
      <c r="BI73" s="11"/>
      <c r="BJ73" s="55"/>
      <c r="BK73" s="11"/>
      <c r="BL73" s="55"/>
      <c r="BM73" s="11"/>
      <c r="BN73" s="55"/>
      <c r="BO73" s="11"/>
      <c r="BP73" s="55"/>
      <c r="BQ73" s="11"/>
      <c r="BR73" s="55"/>
      <c r="BS73" s="11"/>
      <c r="BT73" s="55"/>
      <c r="BU73" s="11"/>
      <c r="BV73" s="55"/>
      <c r="BW73" s="11"/>
      <c r="BX73" s="37"/>
    </row>
    <row r="74" spans="1:76" x14ac:dyDescent="0.25">
      <c r="A74" s="10"/>
      <c r="B74" s="237" t="s">
        <v>18</v>
      </c>
      <c r="C74" s="238">
        <v>42287</v>
      </c>
      <c r="D74" s="81"/>
      <c r="E74" s="81"/>
      <c r="F74" s="206" t="s">
        <v>241</v>
      </c>
      <c r="G74" s="206"/>
      <c r="H74" s="206"/>
      <c r="I74" s="208"/>
      <c r="J74" s="206"/>
      <c r="K74" s="206"/>
      <c r="L74" s="208"/>
      <c r="M74" s="3"/>
      <c r="N74" s="52"/>
      <c r="O74" s="213"/>
      <c r="P74" s="243"/>
      <c r="Q74" s="157"/>
      <c r="R74" s="223"/>
      <c r="S74" s="59"/>
      <c r="T74" s="54"/>
      <c r="U74" s="54"/>
      <c r="V74" s="54"/>
      <c r="W74" s="3"/>
      <c r="X74" s="52"/>
      <c r="Y74" s="217"/>
      <c r="Z74" s="52"/>
      <c r="AA74" s="157"/>
      <c r="AB74" s="223"/>
      <c r="AC74" s="26"/>
      <c r="AD74" s="26"/>
      <c r="AE74" s="64"/>
      <c r="AF74" s="64"/>
      <c r="AG74" s="157"/>
      <c r="AH74" s="223"/>
      <c r="AI74" s="26"/>
      <c r="AJ74" s="53"/>
      <c r="AK74" s="54"/>
      <c r="AL74" s="50"/>
      <c r="AM74" s="157"/>
      <c r="AN74" s="223"/>
      <c r="AO74" s="11"/>
      <c r="AP74" s="11"/>
      <c r="AQ74" s="59"/>
      <c r="AR74" s="157"/>
      <c r="AS74" s="157"/>
      <c r="AT74" s="54"/>
      <c r="AU74" s="220"/>
      <c r="AV74" s="26"/>
      <c r="AW74" s="26"/>
      <c r="AX74" s="64"/>
      <c r="AY74" s="64"/>
      <c r="AZ74" s="223"/>
      <c r="BA74" s="41">
        <f t="shared" si="4"/>
        <v>0</v>
      </c>
      <c r="BB74" s="63">
        <f t="shared" si="5"/>
        <v>0</v>
      </c>
      <c r="BC74" s="59"/>
      <c r="BD74" s="51"/>
      <c r="BE74" s="3"/>
      <c r="BF74" s="55"/>
      <c r="BG74" s="11"/>
      <c r="BH74" s="55"/>
      <c r="BI74" s="11"/>
      <c r="BJ74" s="55"/>
      <c r="BK74" s="11"/>
      <c r="BL74" s="55"/>
      <c r="BM74" s="11"/>
      <c r="BN74" s="55"/>
      <c r="BO74" s="11"/>
      <c r="BP74" s="55"/>
      <c r="BQ74" s="11"/>
      <c r="BR74" s="55"/>
      <c r="BS74" s="11"/>
      <c r="BT74" s="55"/>
      <c r="BU74" s="11"/>
      <c r="BV74" s="55"/>
      <c r="BW74" s="11"/>
      <c r="BX74" s="37"/>
    </row>
    <row r="75" spans="1:76" x14ac:dyDescent="0.25">
      <c r="A75" s="10"/>
      <c r="B75" s="237" t="s">
        <v>29</v>
      </c>
      <c r="C75" s="238">
        <v>42286</v>
      </c>
      <c r="D75" s="81"/>
      <c r="E75" s="81"/>
      <c r="F75" s="206"/>
      <c r="G75" s="206"/>
      <c r="H75" s="206" t="s">
        <v>241</v>
      </c>
      <c r="I75" s="208" t="s">
        <v>245</v>
      </c>
      <c r="J75" s="206"/>
      <c r="K75" s="206"/>
      <c r="L75" s="208" t="s">
        <v>271</v>
      </c>
      <c r="M75" s="3"/>
      <c r="N75" s="52"/>
      <c r="O75" s="213"/>
      <c r="P75" s="243"/>
      <c r="Q75" s="157"/>
      <c r="R75" s="223"/>
      <c r="S75" s="59"/>
      <c r="T75" s="54"/>
      <c r="U75" s="54"/>
      <c r="V75" s="54"/>
      <c r="W75" s="3"/>
      <c r="X75" s="52"/>
      <c r="Y75" s="217"/>
      <c r="Z75" s="52"/>
      <c r="AA75" s="157"/>
      <c r="AB75" s="223"/>
      <c r="AC75" s="26"/>
      <c r="AD75" s="26"/>
      <c r="AE75" s="64"/>
      <c r="AF75" s="64"/>
      <c r="AG75" s="157"/>
      <c r="AH75" s="223"/>
      <c r="AI75" s="26"/>
      <c r="AJ75" s="53"/>
      <c r="AK75" s="54"/>
      <c r="AL75" s="50"/>
      <c r="AM75" s="157"/>
      <c r="AN75" s="223"/>
      <c r="AO75" s="11"/>
      <c r="AP75" s="11"/>
      <c r="AQ75" s="59"/>
      <c r="AR75" s="157"/>
      <c r="AS75" s="157"/>
      <c r="AT75" s="54"/>
      <c r="AU75" s="220"/>
      <c r="AV75" s="26"/>
      <c r="AW75" s="26"/>
      <c r="AX75" s="64"/>
      <c r="AY75" s="64"/>
      <c r="AZ75" s="223"/>
      <c r="BA75" s="41">
        <f t="shared" si="4"/>
        <v>0</v>
      </c>
      <c r="BB75" s="63">
        <f t="shared" si="5"/>
        <v>0</v>
      </c>
      <c r="BC75" s="59"/>
      <c r="BD75" s="51"/>
      <c r="BE75" s="3"/>
      <c r="BF75" s="55"/>
      <c r="BG75" s="11"/>
      <c r="BH75" s="55"/>
      <c r="BI75" s="11"/>
      <c r="BJ75" s="55"/>
      <c r="BK75" s="11"/>
      <c r="BL75" s="55"/>
      <c r="BM75" s="11"/>
      <c r="BN75" s="55"/>
      <c r="BO75" s="11"/>
      <c r="BP75" s="55"/>
      <c r="BQ75" s="11"/>
      <c r="BR75" s="55"/>
      <c r="BS75" s="11"/>
      <c r="BT75" s="55"/>
      <c r="BU75" s="11"/>
      <c r="BV75" s="55"/>
      <c r="BW75" s="11"/>
      <c r="BX75" s="37"/>
    </row>
    <row r="76" spans="1:76" x14ac:dyDescent="0.25">
      <c r="A76" s="56"/>
      <c r="B76" s="248" t="s">
        <v>27</v>
      </c>
      <c r="C76" s="249">
        <v>42288</v>
      </c>
      <c r="D76" s="85"/>
      <c r="E76" s="85"/>
      <c r="F76" s="207"/>
      <c r="G76" s="207" t="s">
        <v>241</v>
      </c>
      <c r="H76" s="207"/>
      <c r="I76" s="209"/>
      <c r="J76" s="207"/>
      <c r="K76" s="207"/>
      <c r="L76" s="209"/>
      <c r="M76" s="19"/>
      <c r="N76" s="22"/>
      <c r="O76" s="212"/>
      <c r="P76" s="242"/>
      <c r="Q76" s="156"/>
      <c r="R76" s="224"/>
      <c r="S76" s="57"/>
      <c r="T76" s="42"/>
      <c r="U76" s="42"/>
      <c r="V76" s="42"/>
      <c r="W76" s="19"/>
      <c r="X76" s="20"/>
      <c r="Y76" s="246"/>
      <c r="Z76" s="20"/>
      <c r="AA76" s="156"/>
      <c r="AB76" s="224"/>
      <c r="AC76" s="18"/>
      <c r="AD76" s="18"/>
      <c r="AE76" s="20"/>
      <c r="AF76" s="20"/>
      <c r="AG76" s="156"/>
      <c r="AH76" s="224"/>
      <c r="AI76" s="84"/>
      <c r="AJ76" s="31"/>
      <c r="AK76" s="42"/>
      <c r="AL76" s="20"/>
      <c r="AM76" s="156"/>
      <c r="AN76" s="224"/>
      <c r="AO76" s="18"/>
      <c r="AP76" s="18"/>
      <c r="AQ76" s="57"/>
      <c r="AR76" s="156"/>
      <c r="AS76" s="156"/>
      <c r="AT76" s="42"/>
      <c r="AU76" s="221"/>
      <c r="AV76" s="18"/>
      <c r="AW76" s="18"/>
      <c r="AX76" s="20"/>
      <c r="AY76" s="20"/>
      <c r="AZ76" s="224"/>
      <c r="BA76" s="225">
        <f t="shared" si="4"/>
        <v>0</v>
      </c>
      <c r="BB76" s="58">
        <f t="shared" si="5"/>
        <v>0</v>
      </c>
      <c r="BC76" s="57">
        <f>SUM(BA70:BA76)</f>
        <v>0</v>
      </c>
      <c r="BD76" s="21">
        <f>SUM(BB70:BB76)</f>
        <v>0</v>
      </c>
      <c r="BE76" s="19"/>
      <c r="BF76" s="36"/>
      <c r="BG76" s="18"/>
      <c r="BH76" s="36"/>
      <c r="BI76" s="18"/>
      <c r="BJ76" s="36"/>
      <c r="BK76" s="18"/>
      <c r="BL76" s="36"/>
      <c r="BM76" s="18"/>
      <c r="BN76" s="36"/>
      <c r="BO76" s="18"/>
      <c r="BP76" s="36"/>
      <c r="BQ76" s="18"/>
      <c r="BR76" s="36"/>
      <c r="BS76" s="18"/>
      <c r="BT76" s="36"/>
      <c r="BU76" s="18"/>
      <c r="BV76" s="36"/>
      <c r="BW76" s="18"/>
      <c r="BX76" s="38"/>
    </row>
    <row r="77" spans="1:76" x14ac:dyDescent="0.25">
      <c r="A77" s="10"/>
      <c r="B77" s="237" t="s">
        <v>0</v>
      </c>
      <c r="C77" s="238">
        <v>42289</v>
      </c>
      <c r="D77" s="81"/>
      <c r="E77" s="81"/>
      <c r="F77" s="206" t="s">
        <v>241</v>
      </c>
      <c r="G77" s="206"/>
      <c r="H77" s="206"/>
      <c r="I77" s="208"/>
      <c r="J77" s="206"/>
      <c r="K77" s="206"/>
      <c r="L77" s="208"/>
      <c r="M77" s="3"/>
      <c r="N77" s="52"/>
      <c r="O77" s="213"/>
      <c r="P77" s="243"/>
      <c r="Q77" s="157"/>
      <c r="R77" s="223"/>
      <c r="S77" s="59"/>
      <c r="T77" s="54"/>
      <c r="U77" s="54"/>
      <c r="V77" s="54"/>
      <c r="W77" s="3"/>
      <c r="X77" s="52"/>
      <c r="Y77" s="217"/>
      <c r="Z77" s="52"/>
      <c r="AA77" s="157"/>
      <c r="AB77" s="223"/>
      <c r="AC77" s="26"/>
      <c r="AD77" s="26"/>
      <c r="AE77" s="64"/>
      <c r="AF77" s="64"/>
      <c r="AG77" s="157"/>
      <c r="AH77" s="223"/>
      <c r="AI77" s="26"/>
      <c r="AJ77" s="53"/>
      <c r="AK77" s="54"/>
      <c r="AL77" s="50"/>
      <c r="AM77" s="157"/>
      <c r="AN77" s="223"/>
      <c r="AO77" s="11"/>
      <c r="AP77" s="11"/>
      <c r="AQ77" s="59"/>
      <c r="AR77" s="157"/>
      <c r="AS77" s="157"/>
      <c r="AT77" s="54"/>
      <c r="AU77" s="220"/>
      <c r="AV77" s="26"/>
      <c r="AW77" s="26"/>
      <c r="AX77" s="64"/>
      <c r="AY77" s="64"/>
      <c r="AZ77" s="223"/>
      <c r="BA77" s="41">
        <f t="shared" si="4"/>
        <v>0</v>
      </c>
      <c r="BB77" s="63">
        <f t="shared" si="5"/>
        <v>0</v>
      </c>
      <c r="BC77" s="59"/>
      <c r="BD77" s="51"/>
      <c r="BE77" s="3"/>
      <c r="BF77" s="9">
        <f>$BE$7-BE77</f>
        <v>80.599999999999994</v>
      </c>
      <c r="BH77" s="9">
        <f>$BG$7-BG77</f>
        <v>91</v>
      </c>
      <c r="BJ77" s="9">
        <f>$BI$7-BI77</f>
        <v>98</v>
      </c>
      <c r="BL77" s="9">
        <f>$BK$7-BK77</f>
        <v>101</v>
      </c>
      <c r="BM77"/>
      <c r="BN77" s="9">
        <f>$BM$7-BM77</f>
        <v>60</v>
      </c>
      <c r="BP77" s="9">
        <f>$BO$7-BO77</f>
        <v>59</v>
      </c>
      <c r="BQ77"/>
      <c r="BR77" s="9">
        <f>$BQ$7-BQ77</f>
        <v>41.5</v>
      </c>
      <c r="BS77"/>
      <c r="BT77" s="9">
        <f>$BS$7-BS77</f>
        <v>42</v>
      </c>
      <c r="BU77"/>
      <c r="BV77" s="9">
        <f>$BU$7-BU77</f>
        <v>31.5</v>
      </c>
      <c r="BX77" s="37">
        <f>$BW$7-BW77</f>
        <v>33</v>
      </c>
    </row>
    <row r="78" spans="1:76" x14ac:dyDescent="0.25">
      <c r="A78" s="10"/>
      <c r="B78" s="237" t="s">
        <v>24</v>
      </c>
      <c r="C78" s="238">
        <v>42290</v>
      </c>
      <c r="D78" s="81"/>
      <c r="E78" s="81"/>
      <c r="F78" s="206"/>
      <c r="G78" s="206"/>
      <c r="H78" s="206" t="s">
        <v>241</v>
      </c>
      <c r="I78" s="208" t="s">
        <v>245</v>
      </c>
      <c r="J78" s="206"/>
      <c r="K78" s="206"/>
      <c r="L78" s="208" t="s">
        <v>263</v>
      </c>
      <c r="M78" s="3"/>
      <c r="N78" s="52"/>
      <c r="O78" s="213"/>
      <c r="P78" s="243"/>
      <c r="Q78" s="157"/>
      <c r="R78" s="223"/>
      <c r="S78" s="59"/>
      <c r="T78" s="54"/>
      <c r="U78" s="54"/>
      <c r="V78" s="54"/>
      <c r="W78" s="3"/>
      <c r="X78" s="50"/>
      <c r="Y78" s="217"/>
      <c r="Z78" s="52"/>
      <c r="AA78" s="157"/>
      <c r="AB78" s="223"/>
      <c r="AC78" s="26"/>
      <c r="AD78" s="26"/>
      <c r="AE78" s="64"/>
      <c r="AF78" s="64"/>
      <c r="AG78" s="157"/>
      <c r="AH78" s="223"/>
      <c r="AI78" s="26"/>
      <c r="AJ78" s="53"/>
      <c r="AK78" s="54"/>
      <c r="AL78" s="50"/>
      <c r="AM78" s="157"/>
      <c r="AN78" s="223"/>
      <c r="AO78" s="11"/>
      <c r="AP78" s="51"/>
      <c r="AQ78" s="59"/>
      <c r="AR78" s="157"/>
      <c r="AS78" s="157"/>
      <c r="AT78" s="54"/>
      <c r="AU78" s="220"/>
      <c r="AV78" s="26"/>
      <c r="AW78" s="26"/>
      <c r="AX78" s="64"/>
      <c r="AY78" s="64"/>
      <c r="AZ78" s="223"/>
      <c r="BA78" s="41">
        <f t="shared" si="4"/>
        <v>0</v>
      </c>
      <c r="BB78" s="63">
        <f t="shared" si="5"/>
        <v>0</v>
      </c>
      <c r="BC78" s="59"/>
      <c r="BD78" s="51"/>
      <c r="BE78" s="3"/>
      <c r="BM78"/>
      <c r="BQ78"/>
      <c r="BS78"/>
      <c r="BU78"/>
      <c r="BX78" s="37"/>
    </row>
    <row r="79" spans="1:76" x14ac:dyDescent="0.25">
      <c r="A79" s="10">
        <v>11</v>
      </c>
      <c r="B79" s="237" t="s">
        <v>15</v>
      </c>
      <c r="C79" s="238">
        <v>42291</v>
      </c>
      <c r="D79" s="81"/>
      <c r="E79" s="81"/>
      <c r="F79" s="206"/>
      <c r="G79" s="206"/>
      <c r="H79" s="206" t="s">
        <v>241</v>
      </c>
      <c r="I79" s="208"/>
      <c r="J79" s="206" t="s">
        <v>241</v>
      </c>
      <c r="K79" s="206"/>
      <c r="L79" s="208"/>
      <c r="M79" s="3"/>
      <c r="N79" s="52"/>
      <c r="O79" s="213"/>
      <c r="P79" s="243"/>
      <c r="Q79" s="157"/>
      <c r="R79" s="223"/>
      <c r="S79" s="59"/>
      <c r="T79" s="54"/>
      <c r="U79" s="54"/>
      <c r="V79" s="54"/>
      <c r="W79" s="3"/>
      <c r="X79" s="52"/>
      <c r="Y79" s="217"/>
      <c r="Z79" s="52"/>
      <c r="AA79" s="157"/>
      <c r="AB79" s="223"/>
      <c r="AC79" s="26"/>
      <c r="AD79" s="26"/>
      <c r="AE79" s="64"/>
      <c r="AF79" s="64"/>
      <c r="AG79" s="157"/>
      <c r="AH79" s="223"/>
      <c r="AI79" s="26"/>
      <c r="AJ79" s="53"/>
      <c r="AK79" s="54"/>
      <c r="AL79" s="50"/>
      <c r="AM79" s="157"/>
      <c r="AN79" s="223"/>
      <c r="AO79" s="11"/>
      <c r="AP79" s="11"/>
      <c r="AQ79" s="59"/>
      <c r="AR79" s="157"/>
      <c r="AS79" s="157"/>
      <c r="AT79" s="54"/>
      <c r="AU79" s="220"/>
      <c r="AV79" s="26"/>
      <c r="AW79" s="26"/>
      <c r="AX79" s="64"/>
      <c r="AY79" s="64"/>
      <c r="AZ79" s="223"/>
      <c r="BA79" s="41">
        <f t="shared" si="4"/>
        <v>0</v>
      </c>
      <c r="BB79" s="63">
        <f t="shared" si="5"/>
        <v>0</v>
      </c>
      <c r="BC79" s="59"/>
      <c r="BD79" s="51"/>
      <c r="BE79" s="3"/>
      <c r="BF79" s="55"/>
      <c r="BG79" s="11"/>
      <c r="BH79" s="55"/>
      <c r="BI79" s="11"/>
      <c r="BJ79" s="55"/>
      <c r="BK79" s="11"/>
      <c r="BL79" s="55"/>
      <c r="BM79" s="11"/>
      <c r="BN79" s="55"/>
      <c r="BO79" s="11"/>
      <c r="BP79" s="55"/>
      <c r="BQ79" s="11"/>
      <c r="BR79" s="55"/>
      <c r="BS79" s="11"/>
      <c r="BT79" s="55"/>
      <c r="BU79" s="11"/>
      <c r="BV79" s="55"/>
      <c r="BW79" s="11"/>
      <c r="BX79" s="37"/>
    </row>
    <row r="80" spans="1:76" x14ac:dyDescent="0.25">
      <c r="A80" s="10">
        <v>42</v>
      </c>
      <c r="B80" s="237" t="s">
        <v>26</v>
      </c>
      <c r="C80" s="238">
        <v>42292</v>
      </c>
      <c r="D80" s="81"/>
      <c r="E80" s="81"/>
      <c r="F80" s="206"/>
      <c r="G80" s="206"/>
      <c r="H80" s="206" t="s">
        <v>241</v>
      </c>
      <c r="I80" s="208"/>
      <c r="J80" s="206"/>
      <c r="K80" s="206" t="s">
        <v>241</v>
      </c>
      <c r="L80" s="208"/>
      <c r="M80" s="3"/>
      <c r="N80" s="52"/>
      <c r="O80" s="213"/>
      <c r="P80" s="243"/>
      <c r="Q80" s="157"/>
      <c r="R80" s="223"/>
      <c r="S80" s="59"/>
      <c r="T80" s="54"/>
      <c r="U80" s="54"/>
      <c r="V80" s="54"/>
      <c r="W80" s="3"/>
      <c r="X80" s="52"/>
      <c r="Y80" s="217"/>
      <c r="Z80" s="52"/>
      <c r="AA80" s="157"/>
      <c r="AB80" s="223"/>
      <c r="AC80" s="26"/>
      <c r="AD80" s="26"/>
      <c r="AE80" s="64"/>
      <c r="AF80" s="64"/>
      <c r="AG80" s="157"/>
      <c r="AH80" s="223"/>
      <c r="AI80" s="26"/>
      <c r="AJ80" s="53"/>
      <c r="AK80" s="54"/>
      <c r="AL80" s="50"/>
      <c r="AM80" s="157"/>
      <c r="AN80" s="223"/>
      <c r="AO80" s="11"/>
      <c r="AP80" s="11"/>
      <c r="AQ80" s="59"/>
      <c r="AR80" s="157"/>
      <c r="AS80" s="157"/>
      <c r="AT80" s="54"/>
      <c r="AU80" s="220"/>
      <c r="AV80" s="26"/>
      <c r="AW80" s="26"/>
      <c r="AX80" s="64"/>
      <c r="AY80" s="64"/>
      <c r="AZ80" s="223"/>
      <c r="BA80" s="41">
        <f t="shared" si="4"/>
        <v>0</v>
      </c>
      <c r="BB80" s="63">
        <f t="shared" si="5"/>
        <v>0</v>
      </c>
      <c r="BC80" s="59"/>
      <c r="BD80" s="51"/>
      <c r="BE80" s="3"/>
      <c r="BF80" s="55"/>
      <c r="BG80" s="11"/>
      <c r="BH80" s="55"/>
      <c r="BI80" s="11"/>
      <c r="BJ80" s="55"/>
      <c r="BK80" s="11"/>
      <c r="BL80" s="55"/>
      <c r="BM80" s="11"/>
      <c r="BN80" s="55"/>
      <c r="BO80" s="11"/>
      <c r="BP80" s="55"/>
      <c r="BQ80" s="11"/>
      <c r="BR80" s="55"/>
      <c r="BS80" s="11"/>
      <c r="BT80" s="55"/>
      <c r="BU80" s="11"/>
      <c r="BV80" s="55"/>
      <c r="BW80" s="11"/>
      <c r="BX80" s="37"/>
    </row>
    <row r="81" spans="1:76" x14ac:dyDescent="0.25">
      <c r="A81" s="10"/>
      <c r="B81" s="237" t="s">
        <v>18</v>
      </c>
      <c r="C81" s="238">
        <v>42294</v>
      </c>
      <c r="D81" s="81"/>
      <c r="E81" s="81"/>
      <c r="F81" s="206" t="s">
        <v>241</v>
      </c>
      <c r="G81" s="206"/>
      <c r="H81" s="206"/>
      <c r="I81" s="208"/>
      <c r="J81" s="206"/>
      <c r="K81" s="206"/>
      <c r="L81" s="208"/>
      <c r="M81" s="3"/>
      <c r="N81" s="52"/>
      <c r="O81" s="213"/>
      <c r="P81" s="243"/>
      <c r="Q81" s="157"/>
      <c r="R81" s="223"/>
      <c r="S81" s="59"/>
      <c r="T81" s="54"/>
      <c r="U81" s="54"/>
      <c r="V81" s="54"/>
      <c r="W81" s="3"/>
      <c r="X81" s="52"/>
      <c r="Y81" s="217"/>
      <c r="Z81" s="52"/>
      <c r="AA81" s="157"/>
      <c r="AB81" s="223"/>
      <c r="AC81" s="26"/>
      <c r="AD81" s="26"/>
      <c r="AE81" s="64"/>
      <c r="AF81" s="64"/>
      <c r="AG81" s="157"/>
      <c r="AH81" s="223"/>
      <c r="AI81" s="26"/>
      <c r="AJ81" s="53"/>
      <c r="AK81" s="54"/>
      <c r="AL81" s="50"/>
      <c r="AM81" s="157"/>
      <c r="AN81" s="223"/>
      <c r="AO81" s="11"/>
      <c r="AP81" s="11"/>
      <c r="AQ81" s="59"/>
      <c r="AR81" s="157"/>
      <c r="AS81" s="157"/>
      <c r="AT81" s="54"/>
      <c r="AU81" s="220"/>
      <c r="AV81" s="26"/>
      <c r="AW81" s="26"/>
      <c r="AX81" s="64"/>
      <c r="AY81" s="64"/>
      <c r="AZ81" s="223"/>
      <c r="BA81" s="41">
        <f t="shared" si="4"/>
        <v>0</v>
      </c>
      <c r="BB81" s="63">
        <f t="shared" si="5"/>
        <v>0</v>
      </c>
      <c r="BC81" s="59"/>
      <c r="BD81" s="51"/>
      <c r="BE81" s="3"/>
      <c r="BF81" s="55"/>
      <c r="BG81" s="11"/>
      <c r="BH81" s="55"/>
      <c r="BI81" s="11"/>
      <c r="BJ81" s="55"/>
      <c r="BK81" s="11"/>
      <c r="BL81" s="55"/>
      <c r="BM81" s="11"/>
      <c r="BN81" s="55"/>
      <c r="BO81" s="11"/>
      <c r="BP81" s="55"/>
      <c r="BQ81" s="11"/>
      <c r="BR81" s="55"/>
      <c r="BS81" s="11"/>
      <c r="BT81" s="55"/>
      <c r="BU81" s="11"/>
      <c r="BV81" s="55"/>
      <c r="BW81" s="11"/>
      <c r="BX81" s="37"/>
    </row>
    <row r="82" spans="1:76" x14ac:dyDescent="0.25">
      <c r="A82" s="10"/>
      <c r="B82" s="237" t="s">
        <v>29</v>
      </c>
      <c r="C82" s="238">
        <v>42293</v>
      </c>
      <c r="D82" s="81"/>
      <c r="E82" s="81"/>
      <c r="F82" s="206"/>
      <c r="G82" s="206"/>
      <c r="H82" s="206" t="s">
        <v>241</v>
      </c>
      <c r="I82" s="208" t="s">
        <v>245</v>
      </c>
      <c r="J82" s="206"/>
      <c r="K82" s="206"/>
      <c r="L82" s="208" t="s">
        <v>258</v>
      </c>
      <c r="M82" s="3"/>
      <c r="N82" s="52"/>
      <c r="O82" s="213"/>
      <c r="P82" s="243"/>
      <c r="Q82" s="157"/>
      <c r="R82" s="223"/>
      <c r="S82" s="59"/>
      <c r="T82" s="54"/>
      <c r="U82" s="54"/>
      <c r="V82" s="54"/>
      <c r="W82" s="3"/>
      <c r="X82" s="52"/>
      <c r="Y82" s="217"/>
      <c r="Z82" s="52"/>
      <c r="AA82" s="157"/>
      <c r="AB82" s="223"/>
      <c r="AC82" s="26"/>
      <c r="AD82" s="26"/>
      <c r="AE82" s="64"/>
      <c r="AF82" s="64"/>
      <c r="AG82" s="157"/>
      <c r="AH82" s="223"/>
      <c r="AI82" s="26"/>
      <c r="AJ82" s="53"/>
      <c r="AK82" s="54"/>
      <c r="AL82" s="50"/>
      <c r="AM82" s="157"/>
      <c r="AN82" s="223"/>
      <c r="AO82" s="11"/>
      <c r="AP82" s="11"/>
      <c r="AQ82" s="59"/>
      <c r="AR82" s="157"/>
      <c r="AS82" s="157"/>
      <c r="AT82" s="54"/>
      <c r="AU82" s="220"/>
      <c r="AV82" s="26"/>
      <c r="AW82" s="26"/>
      <c r="AX82" s="64"/>
      <c r="AY82" s="64"/>
      <c r="AZ82" s="223"/>
      <c r="BA82" s="41">
        <f t="shared" si="4"/>
        <v>0</v>
      </c>
      <c r="BB82" s="63">
        <f t="shared" si="5"/>
        <v>0</v>
      </c>
      <c r="BC82" s="59"/>
      <c r="BD82" s="51"/>
      <c r="BE82" s="3"/>
      <c r="BF82" s="55"/>
      <c r="BG82" s="11"/>
      <c r="BH82" s="55"/>
      <c r="BI82" s="11"/>
      <c r="BJ82" s="55"/>
      <c r="BK82" s="11"/>
      <c r="BL82" s="55"/>
      <c r="BM82" s="11"/>
      <c r="BN82" s="55"/>
      <c r="BO82" s="11"/>
      <c r="BP82" s="55"/>
      <c r="BQ82" s="11"/>
      <c r="BR82" s="55"/>
      <c r="BS82" s="11"/>
      <c r="BT82" s="55"/>
      <c r="BU82" s="11"/>
      <c r="BV82" s="55"/>
      <c r="BW82" s="11"/>
      <c r="BX82" s="37"/>
    </row>
    <row r="83" spans="1:76" x14ac:dyDescent="0.25">
      <c r="A83" s="56"/>
      <c r="B83" s="248" t="s">
        <v>27</v>
      </c>
      <c r="C83" s="249">
        <v>42295</v>
      </c>
      <c r="D83" s="85" t="s">
        <v>278</v>
      </c>
      <c r="E83" s="85"/>
      <c r="F83" s="207"/>
      <c r="G83" s="207" t="s">
        <v>241</v>
      </c>
      <c r="H83" s="207"/>
      <c r="I83" s="209"/>
      <c r="J83" s="207"/>
      <c r="K83" s="207"/>
      <c r="L83" s="209"/>
      <c r="M83" s="19"/>
      <c r="N83" s="22"/>
      <c r="O83" s="212"/>
      <c r="P83" s="242"/>
      <c r="Q83" s="156"/>
      <c r="R83" s="224"/>
      <c r="S83" s="57"/>
      <c r="T83" s="42"/>
      <c r="U83" s="42"/>
      <c r="V83" s="42"/>
      <c r="W83" s="19"/>
      <c r="X83" s="20"/>
      <c r="Y83" s="246"/>
      <c r="Z83" s="20"/>
      <c r="AA83" s="156"/>
      <c r="AB83" s="224"/>
      <c r="AC83" s="18"/>
      <c r="AD83" s="18"/>
      <c r="AE83" s="20"/>
      <c r="AF83" s="20"/>
      <c r="AG83" s="156"/>
      <c r="AH83" s="224"/>
      <c r="AI83" s="84"/>
      <c r="AJ83" s="31"/>
      <c r="AK83" s="42"/>
      <c r="AL83" s="20"/>
      <c r="AM83" s="156"/>
      <c r="AN83" s="224"/>
      <c r="AO83" s="18"/>
      <c r="AP83" s="18"/>
      <c r="AQ83" s="57"/>
      <c r="AR83" s="156"/>
      <c r="AS83" s="156"/>
      <c r="AT83" s="42"/>
      <c r="AU83" s="221"/>
      <c r="AV83" s="18"/>
      <c r="AW83" s="18"/>
      <c r="AX83" s="20"/>
      <c r="AY83" s="20"/>
      <c r="AZ83" s="224"/>
      <c r="BA83" s="225">
        <f t="shared" si="4"/>
        <v>0</v>
      </c>
      <c r="BB83" s="58">
        <f t="shared" si="5"/>
        <v>0</v>
      </c>
      <c r="BC83" s="57">
        <f>SUM(BA77:BA83)</f>
        <v>0</v>
      </c>
      <c r="BD83" s="21">
        <f>SUM(BB77:BB83)</f>
        <v>0</v>
      </c>
      <c r="BE83" s="19"/>
      <c r="BF83" s="36"/>
      <c r="BG83" s="18"/>
      <c r="BH83" s="36"/>
      <c r="BI83" s="18"/>
      <c r="BJ83" s="36"/>
      <c r="BK83" s="18"/>
      <c r="BL83" s="36"/>
      <c r="BM83" s="18"/>
      <c r="BN83" s="36"/>
      <c r="BO83" s="18"/>
      <c r="BP83" s="36"/>
      <c r="BQ83" s="18"/>
      <c r="BR83" s="36"/>
      <c r="BS83" s="18"/>
      <c r="BT83" s="36"/>
      <c r="BU83" s="18"/>
      <c r="BV83" s="36"/>
      <c r="BW83" s="18"/>
      <c r="BX83" s="38"/>
    </row>
    <row r="84" spans="1:76" x14ac:dyDescent="0.25">
      <c r="A84" s="10"/>
      <c r="B84" s="237" t="s">
        <v>0</v>
      </c>
      <c r="C84" s="238">
        <v>42296</v>
      </c>
      <c r="D84" s="81"/>
      <c r="E84" s="81"/>
      <c r="F84" s="206" t="s">
        <v>241</v>
      </c>
      <c r="G84" s="206"/>
      <c r="H84" s="206"/>
      <c r="I84" s="208"/>
      <c r="J84" s="206"/>
      <c r="K84" s="206"/>
      <c r="L84" s="208"/>
      <c r="M84" s="3"/>
      <c r="N84" s="52"/>
      <c r="O84" s="211"/>
      <c r="P84" s="240"/>
      <c r="Q84" s="157"/>
      <c r="R84" s="223"/>
      <c r="S84" s="59"/>
      <c r="T84" s="54"/>
      <c r="U84" s="54"/>
      <c r="V84" s="54"/>
      <c r="W84" s="3"/>
      <c r="X84" s="50"/>
      <c r="Y84" s="247"/>
      <c r="Z84" s="50"/>
      <c r="AA84" s="157"/>
      <c r="AB84" s="223"/>
      <c r="AC84" s="11"/>
      <c r="AD84" s="11"/>
      <c r="AE84" s="50"/>
      <c r="AF84" s="50"/>
      <c r="AG84" s="157"/>
      <c r="AH84" s="223"/>
      <c r="AI84" s="26"/>
      <c r="AJ84" s="53"/>
      <c r="AK84" s="54"/>
      <c r="AL84" s="50"/>
      <c r="AM84" s="157"/>
      <c r="AN84" s="223"/>
      <c r="AO84" s="11"/>
      <c r="AP84" s="11"/>
      <c r="AQ84" s="59"/>
      <c r="AR84" s="157"/>
      <c r="AS84" s="157"/>
      <c r="AT84" s="54"/>
      <c r="AU84" s="220"/>
      <c r="AV84" s="11"/>
      <c r="AW84" s="11"/>
      <c r="AX84" s="50"/>
      <c r="AY84" s="50"/>
      <c r="AZ84" s="223"/>
      <c r="BA84" s="41">
        <f t="shared" si="4"/>
        <v>0</v>
      </c>
      <c r="BB84" s="63">
        <f t="shared" si="5"/>
        <v>0</v>
      </c>
      <c r="BC84" s="59"/>
      <c r="BD84" s="51"/>
      <c r="BE84" s="3"/>
      <c r="BF84" s="9">
        <f>$BE$7-BE84</f>
        <v>80.599999999999994</v>
      </c>
      <c r="BH84" s="9">
        <f>$BG$7-BG84</f>
        <v>91</v>
      </c>
      <c r="BJ84" s="9">
        <f>$BI$7-BI84</f>
        <v>98</v>
      </c>
      <c r="BL84" s="9">
        <f>$BK$7-BK84</f>
        <v>101</v>
      </c>
      <c r="BM84"/>
      <c r="BN84" s="9">
        <f>$BM$7-BM84</f>
        <v>60</v>
      </c>
      <c r="BP84" s="9">
        <f>$BO$7-BO84</f>
        <v>59</v>
      </c>
      <c r="BQ84"/>
      <c r="BR84" s="9">
        <f>$BQ$7-BQ84</f>
        <v>41.5</v>
      </c>
      <c r="BS84"/>
      <c r="BT84" s="9">
        <f>$BS$7-BS84</f>
        <v>42</v>
      </c>
      <c r="BU84"/>
      <c r="BV84" s="9">
        <f>$BU$7-BU84</f>
        <v>31.5</v>
      </c>
      <c r="BX84" s="37">
        <f>$BW$7-BW84</f>
        <v>33</v>
      </c>
    </row>
    <row r="85" spans="1:76" x14ac:dyDescent="0.25">
      <c r="A85" s="10"/>
      <c r="B85" s="237" t="s">
        <v>15</v>
      </c>
      <c r="C85" s="238">
        <v>42298</v>
      </c>
      <c r="D85" s="81"/>
      <c r="E85" s="81"/>
      <c r="F85" s="206"/>
      <c r="G85" s="206"/>
      <c r="H85" s="206" t="s">
        <v>241</v>
      </c>
      <c r="I85" s="208" t="s">
        <v>245</v>
      </c>
      <c r="J85" s="206"/>
      <c r="K85" s="206"/>
      <c r="L85" s="208" t="s">
        <v>263</v>
      </c>
      <c r="M85" s="3"/>
      <c r="N85" s="52"/>
      <c r="O85" s="211"/>
      <c r="P85" s="240"/>
      <c r="Q85" s="157"/>
      <c r="R85" s="223"/>
      <c r="S85" s="59"/>
      <c r="T85" s="54"/>
      <c r="U85" s="54"/>
      <c r="V85" s="54"/>
      <c r="W85" s="3"/>
      <c r="X85" s="52"/>
      <c r="Y85" s="217"/>
      <c r="Z85" s="52"/>
      <c r="AA85" s="157"/>
      <c r="AB85" s="223"/>
      <c r="AC85" s="26"/>
      <c r="AD85" s="26"/>
      <c r="AE85" s="64"/>
      <c r="AF85" s="64"/>
      <c r="AG85" s="157"/>
      <c r="AH85" s="223"/>
      <c r="AI85" s="26"/>
      <c r="AJ85" s="53"/>
      <c r="AK85" s="54"/>
      <c r="AL85" s="50"/>
      <c r="AM85" s="157"/>
      <c r="AN85" s="223"/>
      <c r="AO85" s="11"/>
      <c r="AP85" s="51"/>
      <c r="AQ85" s="59"/>
      <c r="AR85" s="157"/>
      <c r="AS85" s="157"/>
      <c r="AT85" s="54"/>
      <c r="AU85" s="220"/>
      <c r="AV85" s="26"/>
      <c r="AW85" s="26"/>
      <c r="AX85" s="64"/>
      <c r="AY85" s="64"/>
      <c r="AZ85" s="223"/>
      <c r="BA85" s="41">
        <f t="shared" si="4"/>
        <v>0</v>
      </c>
      <c r="BB85" s="63">
        <f t="shared" si="5"/>
        <v>0</v>
      </c>
      <c r="BC85" s="59"/>
      <c r="BD85" s="51"/>
      <c r="BE85" s="3"/>
      <c r="BM85"/>
      <c r="BQ85"/>
      <c r="BS85"/>
      <c r="BU85"/>
      <c r="BX85" s="37"/>
    </row>
    <row r="86" spans="1:76" x14ac:dyDescent="0.25">
      <c r="A86" s="10">
        <v>12</v>
      </c>
      <c r="B86" s="237" t="s">
        <v>24</v>
      </c>
      <c r="C86" s="238">
        <v>42297</v>
      </c>
      <c r="D86" s="81"/>
      <c r="E86" s="81"/>
      <c r="F86" s="206"/>
      <c r="G86" s="206"/>
      <c r="H86" s="206" t="s">
        <v>241</v>
      </c>
      <c r="I86" s="208"/>
      <c r="J86" s="206" t="s">
        <v>241</v>
      </c>
      <c r="K86" s="206"/>
      <c r="L86" s="208"/>
      <c r="M86" s="3"/>
      <c r="N86" s="52"/>
      <c r="O86" s="213"/>
      <c r="P86" s="243"/>
      <c r="Q86" s="157"/>
      <c r="R86" s="223"/>
      <c r="S86" s="59"/>
      <c r="T86" s="54"/>
      <c r="U86" s="54"/>
      <c r="V86" s="54"/>
      <c r="W86" s="3"/>
      <c r="X86" s="14"/>
      <c r="Y86" s="217"/>
      <c r="Z86" s="52"/>
      <c r="AA86" s="157"/>
      <c r="AB86" s="223"/>
      <c r="AC86" s="26"/>
      <c r="AD86" s="26"/>
      <c r="AE86" s="64"/>
      <c r="AF86" s="64"/>
      <c r="AG86" s="157"/>
      <c r="AH86" s="223"/>
      <c r="AI86" s="26"/>
      <c r="AJ86" s="53"/>
      <c r="AK86" s="54"/>
      <c r="AL86" s="52"/>
      <c r="AM86" s="157"/>
      <c r="AN86" s="223"/>
      <c r="AO86" s="11"/>
      <c r="AP86" s="11"/>
      <c r="AQ86" s="59"/>
      <c r="AR86" s="157"/>
      <c r="AS86" s="157"/>
      <c r="AT86" s="54"/>
      <c r="AU86" s="220"/>
      <c r="AV86" s="11"/>
      <c r="AW86" s="11"/>
      <c r="AX86" s="50"/>
      <c r="AY86" s="50"/>
      <c r="AZ86" s="223"/>
      <c r="BA86" s="41">
        <f t="shared" si="4"/>
        <v>0</v>
      </c>
      <c r="BB86" s="63">
        <f t="shared" si="5"/>
        <v>0</v>
      </c>
      <c r="BC86" s="59"/>
      <c r="BD86" s="51"/>
      <c r="BE86" s="3"/>
      <c r="BF86" s="55"/>
      <c r="BG86" s="11"/>
      <c r="BH86" s="55"/>
      <c r="BI86" s="11"/>
      <c r="BJ86" s="55"/>
      <c r="BK86" s="11"/>
      <c r="BL86" s="55"/>
      <c r="BM86" s="11"/>
      <c r="BN86" s="55"/>
      <c r="BO86" s="11"/>
      <c r="BP86" s="55"/>
      <c r="BQ86" s="11"/>
      <c r="BR86" s="55"/>
      <c r="BS86" s="11"/>
      <c r="BT86" s="55"/>
      <c r="BU86" s="11"/>
      <c r="BV86" s="55"/>
      <c r="BW86" s="11"/>
      <c r="BX86" s="37"/>
    </row>
    <row r="87" spans="1:76" x14ac:dyDescent="0.25">
      <c r="A87" s="10">
        <v>43</v>
      </c>
      <c r="B87" s="237" t="s">
        <v>26</v>
      </c>
      <c r="C87" s="238">
        <v>42299</v>
      </c>
      <c r="D87" s="81"/>
      <c r="E87" s="81"/>
      <c r="F87" s="206"/>
      <c r="G87" s="206"/>
      <c r="H87" s="206" t="s">
        <v>241</v>
      </c>
      <c r="I87" s="208"/>
      <c r="J87" s="206"/>
      <c r="K87" s="206" t="s">
        <v>241</v>
      </c>
      <c r="L87" s="208"/>
      <c r="M87" s="3"/>
      <c r="N87" s="52"/>
      <c r="O87" s="213"/>
      <c r="P87" s="243"/>
      <c r="Q87" s="157"/>
      <c r="R87" s="223"/>
      <c r="S87" s="59"/>
      <c r="T87" s="54"/>
      <c r="U87" s="54"/>
      <c r="V87" s="54"/>
      <c r="W87" s="3"/>
      <c r="X87" s="14"/>
      <c r="Y87" s="217"/>
      <c r="Z87" s="52"/>
      <c r="AA87" s="157"/>
      <c r="AB87" s="223"/>
      <c r="AC87" s="26"/>
      <c r="AD87" s="26"/>
      <c r="AE87" s="64"/>
      <c r="AF87" s="64"/>
      <c r="AG87" s="157"/>
      <c r="AH87" s="223"/>
      <c r="AI87" s="26"/>
      <c r="AJ87" s="53"/>
      <c r="AK87" s="54"/>
      <c r="AL87" s="52"/>
      <c r="AM87" s="157"/>
      <c r="AN87" s="223"/>
      <c r="AO87" s="11"/>
      <c r="AP87" s="11"/>
      <c r="AQ87" s="59"/>
      <c r="AR87" s="157"/>
      <c r="AS87" s="157"/>
      <c r="AT87" s="54"/>
      <c r="AU87" s="220"/>
      <c r="AV87" s="11"/>
      <c r="AW87" s="11"/>
      <c r="AX87" s="50"/>
      <c r="AY87" s="50"/>
      <c r="AZ87" s="223"/>
      <c r="BA87" s="41">
        <f t="shared" si="4"/>
        <v>0</v>
      </c>
      <c r="BB87" s="63">
        <f t="shared" si="5"/>
        <v>0</v>
      </c>
      <c r="BC87" s="59"/>
      <c r="BD87" s="51"/>
      <c r="BE87" s="3"/>
      <c r="BF87" s="55"/>
      <c r="BG87" s="11"/>
      <c r="BH87" s="55"/>
      <c r="BI87" s="11"/>
      <c r="BJ87" s="55"/>
      <c r="BK87" s="11"/>
      <c r="BL87" s="55"/>
      <c r="BM87" s="11"/>
      <c r="BN87" s="55"/>
      <c r="BO87" s="11"/>
      <c r="BP87" s="55"/>
      <c r="BQ87" s="11"/>
      <c r="BR87" s="55"/>
      <c r="BS87" s="11"/>
      <c r="BT87" s="55"/>
      <c r="BU87" s="11"/>
      <c r="BV87" s="55"/>
      <c r="BW87" s="11"/>
      <c r="BX87" s="37"/>
    </row>
    <row r="88" spans="1:76" x14ac:dyDescent="0.25">
      <c r="A88" s="10"/>
      <c r="B88" s="237" t="s">
        <v>29</v>
      </c>
      <c r="C88" s="238">
        <v>42300</v>
      </c>
      <c r="D88" s="81"/>
      <c r="E88" s="81"/>
      <c r="F88" s="206" t="s">
        <v>241</v>
      </c>
      <c r="G88" s="206"/>
      <c r="H88" s="206"/>
      <c r="I88" s="208"/>
      <c r="J88" s="206"/>
      <c r="K88" s="206"/>
      <c r="L88" s="208"/>
      <c r="M88" s="3"/>
      <c r="N88" s="52"/>
      <c r="O88" s="213"/>
      <c r="P88" s="243"/>
      <c r="Q88" s="157"/>
      <c r="R88" s="223"/>
      <c r="S88" s="59"/>
      <c r="T88" s="54"/>
      <c r="U88" s="54"/>
      <c r="V88" s="54"/>
      <c r="W88" s="3"/>
      <c r="X88" s="14"/>
      <c r="Y88" s="217"/>
      <c r="Z88" s="52"/>
      <c r="AA88" s="157"/>
      <c r="AB88" s="223"/>
      <c r="AC88" s="26"/>
      <c r="AD88" s="26"/>
      <c r="AE88" s="64"/>
      <c r="AF88" s="64"/>
      <c r="AG88" s="157"/>
      <c r="AH88" s="223"/>
      <c r="AI88" s="26"/>
      <c r="AJ88" s="53"/>
      <c r="AK88" s="54"/>
      <c r="AL88" s="52"/>
      <c r="AM88" s="157"/>
      <c r="AN88" s="223"/>
      <c r="AO88" s="11"/>
      <c r="AP88" s="11"/>
      <c r="AQ88" s="59"/>
      <c r="AR88" s="157"/>
      <c r="AS88" s="157"/>
      <c r="AT88" s="54"/>
      <c r="AU88" s="220"/>
      <c r="AV88" s="11"/>
      <c r="AW88" s="11"/>
      <c r="AX88" s="50"/>
      <c r="AY88" s="50"/>
      <c r="AZ88" s="223"/>
      <c r="BA88" s="41">
        <f t="shared" si="4"/>
        <v>0</v>
      </c>
      <c r="BB88" s="63">
        <f t="shared" si="5"/>
        <v>0</v>
      </c>
      <c r="BC88" s="59"/>
      <c r="BD88" s="51"/>
      <c r="BE88" s="3"/>
      <c r="BF88" s="55"/>
      <c r="BG88" s="11"/>
      <c r="BH88" s="55"/>
      <c r="BI88" s="11"/>
      <c r="BJ88" s="55"/>
      <c r="BK88" s="11"/>
      <c r="BL88" s="55"/>
      <c r="BM88" s="11"/>
      <c r="BN88" s="55"/>
      <c r="BO88" s="11"/>
      <c r="BP88" s="55"/>
      <c r="BQ88" s="11"/>
      <c r="BR88" s="55"/>
      <c r="BS88" s="11"/>
      <c r="BT88" s="55"/>
      <c r="BU88" s="11"/>
      <c r="BV88" s="55"/>
      <c r="BW88" s="11"/>
      <c r="BX88" s="37"/>
    </row>
    <row r="89" spans="1:76" x14ac:dyDescent="0.25">
      <c r="A89" s="10"/>
      <c r="B89" s="237" t="s">
        <v>18</v>
      </c>
      <c r="C89" s="238">
        <v>42301</v>
      </c>
      <c r="D89" s="81"/>
      <c r="E89" s="81"/>
      <c r="F89" s="206"/>
      <c r="G89" s="206"/>
      <c r="H89" s="206" t="s">
        <v>241</v>
      </c>
      <c r="I89" s="208" t="s">
        <v>245</v>
      </c>
      <c r="J89" s="206"/>
      <c r="K89" s="206"/>
      <c r="L89" s="208" t="s">
        <v>266</v>
      </c>
      <c r="M89" s="3"/>
      <c r="N89" s="52"/>
      <c r="O89" s="213"/>
      <c r="P89" s="243"/>
      <c r="Q89" s="157"/>
      <c r="R89" s="223"/>
      <c r="S89" s="59"/>
      <c r="T89" s="54"/>
      <c r="U89" s="54"/>
      <c r="V89" s="54"/>
      <c r="W89" s="3"/>
      <c r="X89" s="14"/>
      <c r="Y89" s="217"/>
      <c r="Z89" s="52"/>
      <c r="AA89" s="157"/>
      <c r="AB89" s="223"/>
      <c r="AC89" s="26"/>
      <c r="AD89" s="26"/>
      <c r="AE89" s="64"/>
      <c r="AF89" s="64"/>
      <c r="AG89" s="157"/>
      <c r="AH89" s="223"/>
      <c r="AI89" s="26"/>
      <c r="AJ89" s="53"/>
      <c r="AK89" s="54"/>
      <c r="AL89" s="52"/>
      <c r="AM89" s="157"/>
      <c r="AN89" s="223"/>
      <c r="AO89" s="11"/>
      <c r="AP89" s="11"/>
      <c r="AQ89" s="59"/>
      <c r="AR89" s="157"/>
      <c r="AS89" s="157"/>
      <c r="AT89" s="54"/>
      <c r="AU89" s="220"/>
      <c r="AV89" s="11"/>
      <c r="AW89" s="11"/>
      <c r="AX89" s="50"/>
      <c r="AY89" s="50"/>
      <c r="AZ89" s="223"/>
      <c r="BA89" s="41">
        <f t="shared" si="4"/>
        <v>0</v>
      </c>
      <c r="BB89" s="63">
        <f t="shared" si="5"/>
        <v>0</v>
      </c>
      <c r="BC89" s="59"/>
      <c r="BD89" s="51"/>
      <c r="BE89" s="3"/>
      <c r="BF89" s="55"/>
      <c r="BG89" s="11"/>
      <c r="BH89" s="55"/>
      <c r="BI89" s="11"/>
      <c r="BJ89" s="55"/>
      <c r="BK89" s="11"/>
      <c r="BL89" s="55"/>
      <c r="BM89" s="11"/>
      <c r="BN89" s="55"/>
      <c r="BO89" s="11"/>
      <c r="BP89" s="55"/>
      <c r="BQ89" s="11"/>
      <c r="BR89" s="55"/>
      <c r="BS89" s="11"/>
      <c r="BT89" s="55"/>
      <c r="BU89" s="11"/>
      <c r="BV89" s="55"/>
      <c r="BW89" s="11"/>
      <c r="BX89" s="37"/>
    </row>
    <row r="90" spans="1:76" x14ac:dyDescent="0.25">
      <c r="A90" s="56"/>
      <c r="B90" s="248" t="s">
        <v>27</v>
      </c>
      <c r="C90" s="249">
        <v>42302</v>
      </c>
      <c r="D90" s="85"/>
      <c r="E90" s="85"/>
      <c r="F90" s="207"/>
      <c r="G90" s="207" t="s">
        <v>241</v>
      </c>
      <c r="H90" s="207"/>
      <c r="I90" s="209"/>
      <c r="J90" s="207"/>
      <c r="K90" s="207"/>
      <c r="L90" s="209"/>
      <c r="M90" s="19"/>
      <c r="N90" s="22"/>
      <c r="O90" s="212"/>
      <c r="P90" s="242"/>
      <c r="Q90" s="156"/>
      <c r="R90" s="224"/>
      <c r="S90" s="57"/>
      <c r="T90" s="42"/>
      <c r="U90" s="42"/>
      <c r="V90" s="42"/>
      <c r="W90" s="19"/>
      <c r="X90" s="20"/>
      <c r="Y90" s="246"/>
      <c r="Z90" s="20"/>
      <c r="AA90" s="156"/>
      <c r="AB90" s="224"/>
      <c r="AC90" s="18"/>
      <c r="AD90" s="18"/>
      <c r="AE90" s="20"/>
      <c r="AF90" s="20"/>
      <c r="AG90" s="156"/>
      <c r="AH90" s="224"/>
      <c r="AI90" s="84"/>
      <c r="AJ90" s="31"/>
      <c r="AK90" s="42"/>
      <c r="AL90" s="22"/>
      <c r="AM90" s="156"/>
      <c r="AN90" s="224"/>
      <c r="AO90" s="18"/>
      <c r="AP90" s="18"/>
      <c r="AQ90" s="57"/>
      <c r="AR90" s="156"/>
      <c r="AS90" s="156"/>
      <c r="AT90" s="42"/>
      <c r="AU90" s="221"/>
      <c r="AV90" s="132"/>
      <c r="AW90" s="132"/>
      <c r="AX90" s="250"/>
      <c r="AY90" s="250"/>
      <c r="AZ90" s="224"/>
      <c r="BA90" s="225">
        <f t="shared" si="4"/>
        <v>0</v>
      </c>
      <c r="BB90" s="58">
        <f t="shared" si="5"/>
        <v>0</v>
      </c>
      <c r="BC90" s="57">
        <f>SUM(BA84:BA90)</f>
        <v>0</v>
      </c>
      <c r="BD90" s="21">
        <f>SUM(BB84:BB90)</f>
        <v>0</v>
      </c>
      <c r="BE90" s="19"/>
      <c r="BF90" s="36"/>
      <c r="BG90" s="18"/>
      <c r="BH90" s="36"/>
      <c r="BI90" s="18"/>
      <c r="BJ90" s="36"/>
      <c r="BK90" s="18"/>
      <c r="BL90" s="36"/>
      <c r="BM90" s="18"/>
      <c r="BN90" s="36"/>
      <c r="BO90" s="18"/>
      <c r="BP90" s="36"/>
      <c r="BQ90" s="18"/>
      <c r="BR90" s="36"/>
      <c r="BS90" s="18"/>
      <c r="BT90" s="36"/>
      <c r="BU90" s="18"/>
      <c r="BV90" s="36"/>
      <c r="BW90" s="18"/>
      <c r="BX90" s="38"/>
    </row>
    <row r="91" spans="1:76" x14ac:dyDescent="0.25">
      <c r="A91" s="10"/>
      <c r="B91" s="237" t="s">
        <v>0</v>
      </c>
      <c r="C91" s="238">
        <v>42303</v>
      </c>
      <c r="D91" s="81"/>
      <c r="E91" s="81"/>
      <c r="F91" s="206" t="s">
        <v>241</v>
      </c>
      <c r="G91" s="206"/>
      <c r="H91" s="206"/>
      <c r="I91" s="208"/>
      <c r="J91" s="206"/>
      <c r="K91" s="206"/>
      <c r="L91" s="208"/>
      <c r="M91" s="3"/>
      <c r="N91" s="52"/>
      <c r="O91" s="211"/>
      <c r="P91" s="240"/>
      <c r="Q91" s="157"/>
      <c r="R91" s="223"/>
      <c r="S91" s="59"/>
      <c r="T91" s="54"/>
      <c r="U91" s="54"/>
      <c r="V91" s="54"/>
      <c r="W91" s="3"/>
      <c r="X91" s="52"/>
      <c r="Y91" s="217"/>
      <c r="Z91" s="52"/>
      <c r="AA91" s="157"/>
      <c r="AB91" s="223"/>
      <c r="AC91" s="26"/>
      <c r="AD91" s="26"/>
      <c r="AE91" s="64"/>
      <c r="AF91" s="64"/>
      <c r="AG91" s="157"/>
      <c r="AH91" s="223"/>
      <c r="AI91" s="26"/>
      <c r="AJ91" s="53"/>
      <c r="AK91" s="54"/>
      <c r="AL91" s="50"/>
      <c r="AM91" s="157"/>
      <c r="AN91" s="223"/>
      <c r="AO91" s="11"/>
      <c r="AP91" s="11"/>
      <c r="AQ91" s="59"/>
      <c r="AR91" s="157"/>
      <c r="AS91" s="157"/>
      <c r="AT91" s="54"/>
      <c r="AU91" s="220"/>
      <c r="AV91" s="26"/>
      <c r="AW91" s="26"/>
      <c r="AX91" s="64"/>
      <c r="AY91" s="64"/>
      <c r="AZ91" s="223"/>
      <c r="BA91" s="41">
        <f t="shared" si="4"/>
        <v>0</v>
      </c>
      <c r="BB91" s="63">
        <f t="shared" si="5"/>
        <v>0</v>
      </c>
      <c r="BC91" s="59"/>
      <c r="BD91" s="51"/>
      <c r="BE91" s="3"/>
      <c r="BF91" s="9">
        <f>$BE$7-BE91</f>
        <v>80.599999999999994</v>
      </c>
      <c r="BH91" s="9">
        <f>$BG$7-BG91</f>
        <v>91</v>
      </c>
      <c r="BJ91" s="9">
        <f>$BI$7-BI91</f>
        <v>98</v>
      </c>
      <c r="BL91" s="9">
        <f>$BK$7-BK91</f>
        <v>101</v>
      </c>
      <c r="BM91"/>
      <c r="BN91" s="9">
        <f>$BM$7-BM91</f>
        <v>60</v>
      </c>
      <c r="BP91" s="9">
        <f>$BO$7-BO91</f>
        <v>59</v>
      </c>
      <c r="BQ91"/>
      <c r="BR91" s="9">
        <f>$BQ$7-BQ91</f>
        <v>41.5</v>
      </c>
      <c r="BS91"/>
      <c r="BT91" s="9">
        <f>$BS$7-BS91</f>
        <v>42</v>
      </c>
      <c r="BU91"/>
      <c r="BV91" s="9">
        <f>$BU$7-BU91</f>
        <v>31.5</v>
      </c>
      <c r="BX91" s="37">
        <f>$BW$7-BW91</f>
        <v>33</v>
      </c>
    </row>
    <row r="92" spans="1:76" x14ac:dyDescent="0.25">
      <c r="A92" s="10"/>
      <c r="B92" s="237" t="s">
        <v>24</v>
      </c>
      <c r="C92" s="238">
        <v>42304</v>
      </c>
      <c r="D92" s="81"/>
      <c r="E92" s="81"/>
      <c r="F92" s="206"/>
      <c r="G92" s="206"/>
      <c r="H92" s="206" t="s">
        <v>241</v>
      </c>
      <c r="I92" s="208" t="s">
        <v>245</v>
      </c>
      <c r="J92" s="206"/>
      <c r="K92" s="206"/>
      <c r="L92" s="208" t="s">
        <v>202</v>
      </c>
      <c r="M92" s="3"/>
      <c r="N92" s="52"/>
      <c r="O92" s="211"/>
      <c r="P92" s="240"/>
      <c r="Q92" s="157"/>
      <c r="R92" s="223"/>
      <c r="S92" s="59"/>
      <c r="T92" s="54"/>
      <c r="U92" s="54"/>
      <c r="V92" s="54"/>
      <c r="W92" s="3"/>
      <c r="X92" s="50"/>
      <c r="Y92" s="217"/>
      <c r="Z92" s="52"/>
      <c r="AA92" s="157"/>
      <c r="AB92" s="223"/>
      <c r="AC92" s="26"/>
      <c r="AD92" s="26"/>
      <c r="AE92" s="64"/>
      <c r="AF92" s="64"/>
      <c r="AG92" s="157"/>
      <c r="AH92" s="223"/>
      <c r="AI92" s="26"/>
      <c r="AJ92" s="53"/>
      <c r="AK92" s="54"/>
      <c r="AL92" s="50"/>
      <c r="AM92" s="157"/>
      <c r="AN92" s="223"/>
      <c r="AO92" s="11"/>
      <c r="AP92" s="51"/>
      <c r="AQ92" s="59"/>
      <c r="AR92" s="157"/>
      <c r="AS92" s="157"/>
      <c r="AT92" s="54"/>
      <c r="AU92" s="220"/>
      <c r="AV92" s="26"/>
      <c r="AW92" s="26"/>
      <c r="AX92" s="64"/>
      <c r="AY92" s="64"/>
      <c r="AZ92" s="223"/>
      <c r="BA92" s="41">
        <f t="shared" si="4"/>
        <v>0</v>
      </c>
      <c r="BB92" s="63">
        <f t="shared" si="5"/>
        <v>0</v>
      </c>
      <c r="BC92" s="59"/>
      <c r="BD92" s="51"/>
      <c r="BE92" s="3"/>
      <c r="BM92"/>
      <c r="BQ92"/>
      <c r="BS92"/>
      <c r="BU92"/>
      <c r="BX92" s="37"/>
    </row>
    <row r="93" spans="1:76" x14ac:dyDescent="0.25">
      <c r="A93" s="10">
        <v>13</v>
      </c>
      <c r="B93" s="237" t="s">
        <v>15</v>
      </c>
      <c r="C93" s="238">
        <v>42305</v>
      </c>
      <c r="D93" s="81"/>
      <c r="E93" s="81"/>
      <c r="F93" s="206"/>
      <c r="G93" s="206"/>
      <c r="H93" s="206" t="s">
        <v>241</v>
      </c>
      <c r="I93" s="208"/>
      <c r="J93" s="206" t="s">
        <v>241</v>
      </c>
      <c r="K93" s="206"/>
      <c r="L93" s="208"/>
      <c r="M93" s="3"/>
      <c r="N93" s="52"/>
      <c r="O93" s="213"/>
      <c r="P93" s="243"/>
      <c r="Q93" s="157"/>
      <c r="R93" s="223"/>
      <c r="S93" s="59"/>
      <c r="T93" s="54"/>
      <c r="U93" s="54"/>
      <c r="V93" s="54"/>
      <c r="W93" s="3"/>
      <c r="X93" s="14"/>
      <c r="Y93" s="217"/>
      <c r="Z93" s="52"/>
      <c r="AA93" s="157"/>
      <c r="AB93" s="223"/>
      <c r="AC93" s="26"/>
      <c r="AD93" s="26"/>
      <c r="AE93" s="64"/>
      <c r="AF93" s="64"/>
      <c r="AG93" s="157"/>
      <c r="AH93" s="223"/>
      <c r="AI93" s="26"/>
      <c r="AJ93" s="53"/>
      <c r="AK93" s="54"/>
      <c r="AL93" s="52"/>
      <c r="AM93" s="157"/>
      <c r="AN93" s="223"/>
      <c r="AO93" s="11"/>
      <c r="AP93" s="11"/>
      <c r="AQ93" s="59"/>
      <c r="AR93" s="157"/>
      <c r="AS93" s="157"/>
      <c r="AT93" s="54"/>
      <c r="AU93" s="220"/>
      <c r="AV93" s="11"/>
      <c r="AW93" s="11"/>
      <c r="AX93" s="50"/>
      <c r="AY93" s="50"/>
      <c r="AZ93" s="223"/>
      <c r="BA93" s="41">
        <f t="shared" si="4"/>
        <v>0</v>
      </c>
      <c r="BB93" s="63">
        <f t="shared" si="5"/>
        <v>0</v>
      </c>
      <c r="BC93" s="59"/>
      <c r="BD93" s="51"/>
      <c r="BE93" s="3"/>
      <c r="BF93" s="55"/>
      <c r="BG93" s="11"/>
      <c r="BH93" s="55"/>
      <c r="BI93" s="11"/>
      <c r="BJ93" s="55"/>
      <c r="BK93" s="11"/>
      <c r="BL93" s="55"/>
      <c r="BM93" s="11"/>
      <c r="BN93" s="55"/>
      <c r="BO93" s="11"/>
      <c r="BP93" s="55"/>
      <c r="BQ93" s="11"/>
      <c r="BR93" s="55"/>
      <c r="BS93" s="11"/>
      <c r="BT93" s="55"/>
      <c r="BU93" s="11"/>
      <c r="BV93" s="55"/>
      <c r="BW93" s="11"/>
      <c r="BX93" s="37"/>
    </row>
    <row r="94" spans="1:76" x14ac:dyDescent="0.25">
      <c r="A94" s="10">
        <v>44</v>
      </c>
      <c r="B94" s="237" t="s">
        <v>26</v>
      </c>
      <c r="C94" s="238">
        <v>42306</v>
      </c>
      <c r="D94" s="81"/>
      <c r="E94" s="81"/>
      <c r="F94" s="206"/>
      <c r="G94" s="206"/>
      <c r="H94" s="206" t="s">
        <v>241</v>
      </c>
      <c r="I94" s="208"/>
      <c r="J94" s="206"/>
      <c r="K94" s="206" t="s">
        <v>241</v>
      </c>
      <c r="L94" s="208"/>
      <c r="M94" s="3"/>
      <c r="N94" s="52"/>
      <c r="O94" s="213"/>
      <c r="P94" s="243"/>
      <c r="Q94" s="157"/>
      <c r="R94" s="223"/>
      <c r="S94" s="59"/>
      <c r="T94" s="54"/>
      <c r="U94" s="54"/>
      <c r="V94" s="54"/>
      <c r="W94" s="3"/>
      <c r="X94" s="14"/>
      <c r="Y94" s="217"/>
      <c r="Z94" s="52"/>
      <c r="AA94" s="157"/>
      <c r="AB94" s="223"/>
      <c r="AC94" s="26"/>
      <c r="AD94" s="26"/>
      <c r="AE94" s="64"/>
      <c r="AF94" s="64"/>
      <c r="AG94" s="157"/>
      <c r="AH94" s="223"/>
      <c r="AI94" s="26"/>
      <c r="AJ94" s="53"/>
      <c r="AK94" s="54"/>
      <c r="AL94" s="52"/>
      <c r="AM94" s="157"/>
      <c r="AN94" s="223"/>
      <c r="AO94" s="11"/>
      <c r="AP94" s="11"/>
      <c r="AQ94" s="59"/>
      <c r="AR94" s="157"/>
      <c r="AS94" s="157"/>
      <c r="AT94" s="54"/>
      <c r="AU94" s="220"/>
      <c r="AV94" s="11"/>
      <c r="AW94" s="11"/>
      <c r="AX94" s="50"/>
      <c r="AY94" s="50"/>
      <c r="AZ94" s="223"/>
      <c r="BA94" s="41">
        <f t="shared" si="4"/>
        <v>0</v>
      </c>
      <c r="BB94" s="63">
        <f t="shared" si="5"/>
        <v>0</v>
      </c>
      <c r="BC94" s="59"/>
      <c r="BD94" s="51"/>
      <c r="BE94" s="3"/>
      <c r="BF94" s="55"/>
      <c r="BG94" s="11"/>
      <c r="BH94" s="55"/>
      <c r="BI94" s="11"/>
      <c r="BJ94" s="55"/>
      <c r="BK94" s="11"/>
      <c r="BL94" s="55"/>
      <c r="BM94" s="11"/>
      <c r="BN94" s="55"/>
      <c r="BO94" s="11"/>
      <c r="BP94" s="55"/>
      <c r="BQ94" s="11"/>
      <c r="BR94" s="55"/>
      <c r="BS94" s="11"/>
      <c r="BT94" s="55"/>
      <c r="BU94" s="11"/>
      <c r="BV94" s="55"/>
      <c r="BW94" s="11"/>
      <c r="BX94" s="37"/>
    </row>
    <row r="95" spans="1:76" x14ac:dyDescent="0.25">
      <c r="A95" s="10"/>
      <c r="B95" s="237" t="s">
        <v>18</v>
      </c>
      <c r="C95" s="238">
        <v>42308</v>
      </c>
      <c r="D95" s="81"/>
      <c r="E95" s="81"/>
      <c r="F95" s="206" t="s">
        <v>241</v>
      </c>
      <c r="G95" s="206"/>
      <c r="H95" s="206"/>
      <c r="I95" s="208"/>
      <c r="J95" s="206"/>
      <c r="K95" s="206"/>
      <c r="L95" s="208"/>
      <c r="M95" s="3"/>
      <c r="N95" s="52"/>
      <c r="O95" s="213"/>
      <c r="P95" s="243"/>
      <c r="Q95" s="157"/>
      <c r="R95" s="223"/>
      <c r="S95" s="59"/>
      <c r="T95" s="54"/>
      <c r="U95" s="54"/>
      <c r="V95" s="54"/>
      <c r="W95" s="3"/>
      <c r="X95" s="14"/>
      <c r="Y95" s="217"/>
      <c r="Z95" s="52"/>
      <c r="AA95" s="157"/>
      <c r="AB95" s="223"/>
      <c r="AC95" s="26"/>
      <c r="AD95" s="26"/>
      <c r="AE95" s="64"/>
      <c r="AF95" s="64"/>
      <c r="AG95" s="157"/>
      <c r="AH95" s="223"/>
      <c r="AI95" s="26"/>
      <c r="AJ95" s="53"/>
      <c r="AK95" s="54"/>
      <c r="AL95" s="52"/>
      <c r="AM95" s="157"/>
      <c r="AN95" s="223"/>
      <c r="AO95" s="11"/>
      <c r="AP95" s="11"/>
      <c r="AQ95" s="59"/>
      <c r="AR95" s="157"/>
      <c r="AS95" s="157"/>
      <c r="AT95" s="54"/>
      <c r="AU95" s="220"/>
      <c r="AV95" s="11"/>
      <c r="AW95" s="11"/>
      <c r="AX95" s="50"/>
      <c r="AY95" s="50"/>
      <c r="AZ95" s="223"/>
      <c r="BA95" s="41">
        <f t="shared" si="4"/>
        <v>0</v>
      </c>
      <c r="BB95" s="63">
        <f t="shared" si="5"/>
        <v>0</v>
      </c>
      <c r="BC95" s="59"/>
      <c r="BD95" s="51"/>
      <c r="BE95" s="3"/>
      <c r="BF95" s="55"/>
      <c r="BG95" s="11"/>
      <c r="BH95" s="55"/>
      <c r="BI95" s="11"/>
      <c r="BJ95" s="55"/>
      <c r="BK95" s="11"/>
      <c r="BL95" s="55"/>
      <c r="BM95" s="11"/>
      <c r="BN95" s="55"/>
      <c r="BO95" s="11"/>
      <c r="BP95" s="55"/>
      <c r="BQ95" s="11"/>
      <c r="BR95" s="55"/>
      <c r="BS95" s="11"/>
      <c r="BT95" s="55"/>
      <c r="BU95" s="11"/>
      <c r="BV95" s="55"/>
      <c r="BW95" s="11"/>
      <c r="BX95" s="37"/>
    </row>
    <row r="96" spans="1:76" x14ac:dyDescent="0.25">
      <c r="A96" s="10"/>
      <c r="B96" s="237" t="s">
        <v>29</v>
      </c>
      <c r="C96" s="238">
        <v>42307</v>
      </c>
      <c r="D96" s="81"/>
      <c r="E96" s="81"/>
      <c r="F96" s="206"/>
      <c r="G96" s="206"/>
      <c r="H96" s="206" t="s">
        <v>241</v>
      </c>
      <c r="I96" s="208" t="s">
        <v>245</v>
      </c>
      <c r="J96" s="206"/>
      <c r="K96" s="206"/>
      <c r="L96" s="208" t="s">
        <v>274</v>
      </c>
      <c r="M96" s="3"/>
      <c r="N96" s="52"/>
      <c r="O96" s="213"/>
      <c r="P96" s="243"/>
      <c r="Q96" s="157"/>
      <c r="R96" s="223"/>
      <c r="S96" s="59"/>
      <c r="T96" s="54"/>
      <c r="U96" s="54"/>
      <c r="V96" s="54"/>
      <c r="W96" s="3"/>
      <c r="X96" s="14"/>
      <c r="Y96" s="217"/>
      <c r="Z96" s="52"/>
      <c r="AA96" s="157"/>
      <c r="AB96" s="223"/>
      <c r="AC96" s="26"/>
      <c r="AD96" s="26"/>
      <c r="AE96" s="64"/>
      <c r="AF96" s="64"/>
      <c r="AG96" s="157"/>
      <c r="AH96" s="223"/>
      <c r="AI96" s="26"/>
      <c r="AJ96" s="53"/>
      <c r="AK96" s="54"/>
      <c r="AL96" s="52"/>
      <c r="AM96" s="157"/>
      <c r="AN96" s="223"/>
      <c r="AO96" s="11"/>
      <c r="AP96" s="51"/>
      <c r="AQ96" s="59"/>
      <c r="AR96" s="157"/>
      <c r="AS96" s="157"/>
      <c r="AT96" s="54"/>
      <c r="AU96" s="220"/>
      <c r="AV96" s="26"/>
      <c r="AW96" s="26"/>
      <c r="AX96" s="64"/>
      <c r="AY96" s="64"/>
      <c r="AZ96" s="223"/>
      <c r="BA96" s="41">
        <f t="shared" si="4"/>
        <v>0</v>
      </c>
      <c r="BB96" s="63">
        <f t="shared" si="5"/>
        <v>0</v>
      </c>
      <c r="BC96" s="59"/>
      <c r="BD96" s="51"/>
      <c r="BE96" s="3"/>
      <c r="BF96" s="55"/>
      <c r="BG96" s="11"/>
      <c r="BH96" s="55"/>
      <c r="BI96" s="11"/>
      <c r="BJ96" s="55"/>
      <c r="BK96" s="11"/>
      <c r="BL96" s="55"/>
      <c r="BM96" s="11"/>
      <c r="BN96" s="55"/>
      <c r="BO96" s="11"/>
      <c r="BP96" s="55"/>
      <c r="BQ96" s="11"/>
      <c r="BR96" s="55"/>
      <c r="BS96" s="11"/>
      <c r="BT96" s="55"/>
      <c r="BU96" s="11"/>
      <c r="BV96" s="55"/>
      <c r="BW96" s="11"/>
      <c r="BX96" s="37"/>
    </row>
    <row r="97" spans="1:76" x14ac:dyDescent="0.25">
      <c r="A97" s="56"/>
      <c r="B97" s="248" t="s">
        <v>27</v>
      </c>
      <c r="C97" s="249">
        <v>42309</v>
      </c>
      <c r="D97" s="85"/>
      <c r="E97" s="85"/>
      <c r="F97" s="207"/>
      <c r="G97" s="207" t="s">
        <v>241</v>
      </c>
      <c r="H97" s="207"/>
      <c r="I97" s="209"/>
      <c r="J97" s="207"/>
      <c r="K97" s="207"/>
      <c r="L97" s="209"/>
      <c r="M97" s="19"/>
      <c r="N97" s="22"/>
      <c r="O97" s="212"/>
      <c r="P97" s="242"/>
      <c r="Q97" s="156"/>
      <c r="R97" s="224"/>
      <c r="S97" s="57"/>
      <c r="T97" s="42"/>
      <c r="U97" s="42"/>
      <c r="V97" s="42"/>
      <c r="W97" s="19"/>
      <c r="X97" s="20"/>
      <c r="Y97" s="246"/>
      <c r="Z97" s="20"/>
      <c r="AA97" s="156"/>
      <c r="AB97" s="224"/>
      <c r="AC97" s="18"/>
      <c r="AD97" s="18"/>
      <c r="AE97" s="20"/>
      <c r="AF97" s="20"/>
      <c r="AG97" s="156"/>
      <c r="AH97" s="224"/>
      <c r="AI97" s="84"/>
      <c r="AJ97" s="31"/>
      <c r="AK97" s="42"/>
      <c r="AL97" s="22"/>
      <c r="AM97" s="156"/>
      <c r="AN97" s="224"/>
      <c r="AO97" s="18"/>
      <c r="AP97" s="21"/>
      <c r="AQ97" s="57"/>
      <c r="AR97" s="156"/>
      <c r="AS97" s="156"/>
      <c r="AT97" s="42"/>
      <c r="AU97" s="221"/>
      <c r="AV97" s="132"/>
      <c r="AW97" s="132"/>
      <c r="AX97" s="250"/>
      <c r="AY97" s="250"/>
      <c r="AZ97" s="224"/>
      <c r="BA97" s="225">
        <f t="shared" si="4"/>
        <v>0</v>
      </c>
      <c r="BB97" s="58">
        <f t="shared" si="5"/>
        <v>0</v>
      </c>
      <c r="BC97" s="57">
        <f>SUM(BA91:BA97)</f>
        <v>0</v>
      </c>
      <c r="BD97" s="21">
        <f>SUM(BB91:BB97)</f>
        <v>0</v>
      </c>
      <c r="BE97" s="19"/>
      <c r="BF97" s="36"/>
      <c r="BG97" s="18"/>
      <c r="BH97" s="36"/>
      <c r="BI97" s="18"/>
      <c r="BJ97" s="36"/>
      <c r="BK97" s="18"/>
      <c r="BL97" s="36"/>
      <c r="BM97" s="18"/>
      <c r="BN97" s="36"/>
      <c r="BO97" s="18"/>
      <c r="BP97" s="36"/>
      <c r="BQ97" s="18"/>
      <c r="BR97" s="36"/>
      <c r="BS97" s="18"/>
      <c r="BT97" s="36"/>
      <c r="BU97" s="18"/>
      <c r="BV97" s="36"/>
      <c r="BW97" s="18"/>
      <c r="BX97" s="38"/>
    </row>
    <row r="98" spans="1:76" x14ac:dyDescent="0.25">
      <c r="A98" s="10"/>
      <c r="B98" s="237" t="s">
        <v>0</v>
      </c>
      <c r="C98" s="238">
        <v>42310</v>
      </c>
      <c r="D98" s="81"/>
      <c r="E98" s="81"/>
      <c r="F98" s="206" t="s">
        <v>241</v>
      </c>
      <c r="G98" s="206"/>
      <c r="H98" s="206"/>
      <c r="I98" s="208"/>
      <c r="J98" s="206"/>
      <c r="K98" s="206"/>
      <c r="L98" s="208"/>
      <c r="M98" s="3"/>
      <c r="N98" s="52"/>
      <c r="O98" s="213"/>
      <c r="P98" s="243"/>
      <c r="Q98" s="157"/>
      <c r="R98" s="223"/>
      <c r="S98" s="59"/>
      <c r="T98" s="54"/>
      <c r="U98" s="54"/>
      <c r="V98" s="54"/>
      <c r="W98" s="3"/>
      <c r="X98" s="50"/>
      <c r="Y98" s="247"/>
      <c r="Z98" s="50"/>
      <c r="AA98" s="157"/>
      <c r="AB98" s="223"/>
      <c r="AC98" s="11"/>
      <c r="AD98" s="11"/>
      <c r="AE98" s="50"/>
      <c r="AF98" s="50"/>
      <c r="AG98" s="157"/>
      <c r="AH98" s="223"/>
      <c r="AI98" s="26"/>
      <c r="AJ98" s="53"/>
      <c r="AK98" s="54"/>
      <c r="AL98" s="52"/>
      <c r="AM98" s="157"/>
      <c r="AN98" s="223"/>
      <c r="AO98" s="11"/>
      <c r="AP98" s="11"/>
      <c r="AQ98" s="59"/>
      <c r="AR98" s="157"/>
      <c r="AS98" s="157"/>
      <c r="AT98" s="54"/>
      <c r="AU98" s="220"/>
      <c r="AV98" s="11"/>
      <c r="AW98" s="11"/>
      <c r="AX98" s="50"/>
      <c r="AY98" s="50"/>
      <c r="AZ98" s="223"/>
      <c r="BA98" s="41">
        <f t="shared" si="4"/>
        <v>0</v>
      </c>
      <c r="BB98" s="63">
        <f t="shared" si="5"/>
        <v>0</v>
      </c>
      <c r="BC98" s="59"/>
      <c r="BD98" s="51"/>
      <c r="BE98" s="3"/>
      <c r="BF98" s="9">
        <f>$BE$7-BE98</f>
        <v>80.599999999999994</v>
      </c>
      <c r="BH98" s="9">
        <f>$BG$7-BG98</f>
        <v>91</v>
      </c>
      <c r="BJ98" s="9">
        <f>$BI$7-BI98</f>
        <v>98</v>
      </c>
      <c r="BL98" s="9">
        <f>$BK$7-BK98</f>
        <v>101</v>
      </c>
      <c r="BM98"/>
      <c r="BN98" s="9">
        <f>$BM$7-BM98</f>
        <v>60</v>
      </c>
      <c r="BP98" s="9">
        <f>$BO$7-BO98</f>
        <v>59</v>
      </c>
      <c r="BQ98"/>
      <c r="BR98" s="9">
        <f>$BQ$7-BQ98</f>
        <v>41.5</v>
      </c>
      <c r="BS98"/>
      <c r="BT98" s="9">
        <f>$BS$7-BS98</f>
        <v>42</v>
      </c>
      <c r="BU98"/>
      <c r="BV98" s="9">
        <f>$BU$7-BU98</f>
        <v>31.5</v>
      </c>
      <c r="BX98" s="37">
        <f>$BW$7-BW98</f>
        <v>33</v>
      </c>
    </row>
    <row r="99" spans="1:76" x14ac:dyDescent="0.25">
      <c r="A99" s="10"/>
      <c r="B99" s="237" t="s">
        <v>15</v>
      </c>
      <c r="C99" s="238">
        <v>42312</v>
      </c>
      <c r="D99" s="81"/>
      <c r="E99" s="81"/>
      <c r="F99" s="206"/>
      <c r="G99" s="206"/>
      <c r="H99" s="206" t="s">
        <v>241</v>
      </c>
      <c r="I99" s="208" t="s">
        <v>245</v>
      </c>
      <c r="J99" s="206"/>
      <c r="K99" s="206"/>
      <c r="L99" s="208" t="s">
        <v>43</v>
      </c>
      <c r="M99" s="3"/>
      <c r="N99" s="52"/>
      <c r="O99" s="213"/>
      <c r="P99" s="243"/>
      <c r="Q99" s="157"/>
      <c r="R99" s="223"/>
      <c r="S99" s="59"/>
      <c r="T99" s="54"/>
      <c r="U99" s="54"/>
      <c r="V99" s="54"/>
      <c r="W99" s="3"/>
      <c r="X99" s="50"/>
      <c r="Y99" s="247"/>
      <c r="Z99" s="50"/>
      <c r="AA99" s="157"/>
      <c r="AB99" s="223"/>
      <c r="AC99" s="26"/>
      <c r="AD99" s="26"/>
      <c r="AE99" s="64"/>
      <c r="AF99" s="64"/>
      <c r="AG99" s="157"/>
      <c r="AH99" s="223"/>
      <c r="AI99" s="26"/>
      <c r="AJ99" s="53"/>
      <c r="AK99" s="54"/>
      <c r="AL99" s="52"/>
      <c r="AM99" s="157"/>
      <c r="AN99" s="223"/>
      <c r="AO99" s="11"/>
      <c r="AP99" s="51"/>
      <c r="AQ99" s="59"/>
      <c r="AR99" s="157"/>
      <c r="AS99" s="157"/>
      <c r="AT99" s="54"/>
      <c r="AU99" s="220"/>
      <c r="AV99" s="26"/>
      <c r="AW99" s="26"/>
      <c r="AX99" s="64"/>
      <c r="AY99" s="64"/>
      <c r="AZ99" s="223"/>
      <c r="BA99" s="41">
        <f t="shared" si="4"/>
        <v>0</v>
      </c>
      <c r="BB99" s="63">
        <f t="shared" si="5"/>
        <v>0</v>
      </c>
      <c r="BC99" s="59"/>
      <c r="BD99" s="51"/>
      <c r="BE99" s="3"/>
      <c r="BM99"/>
      <c r="BQ99"/>
      <c r="BS99"/>
      <c r="BU99"/>
      <c r="BX99" s="37"/>
    </row>
    <row r="100" spans="1:76" x14ac:dyDescent="0.25">
      <c r="A100" s="10">
        <v>14</v>
      </c>
      <c r="B100" s="237" t="s">
        <v>24</v>
      </c>
      <c r="C100" s="238">
        <v>42311</v>
      </c>
      <c r="D100" s="81"/>
      <c r="E100" s="81"/>
      <c r="F100" s="206"/>
      <c r="G100" s="206"/>
      <c r="H100" s="206" t="s">
        <v>241</v>
      </c>
      <c r="I100" s="208"/>
      <c r="J100" s="206" t="s">
        <v>241</v>
      </c>
      <c r="K100" s="206"/>
      <c r="L100" s="208"/>
      <c r="M100" s="3"/>
      <c r="N100" s="52"/>
      <c r="O100" s="213"/>
      <c r="P100" s="243"/>
      <c r="Q100" s="157"/>
      <c r="R100" s="223"/>
      <c r="S100" s="59"/>
      <c r="T100" s="54"/>
      <c r="U100" s="54"/>
      <c r="V100" s="54"/>
      <c r="W100" s="3"/>
      <c r="X100" s="14"/>
      <c r="Y100" s="217"/>
      <c r="Z100" s="52"/>
      <c r="AA100" s="157"/>
      <c r="AB100" s="223"/>
      <c r="AC100" s="26"/>
      <c r="AD100" s="26"/>
      <c r="AE100" s="64"/>
      <c r="AF100" s="64"/>
      <c r="AG100" s="157"/>
      <c r="AH100" s="223"/>
      <c r="AI100" s="26"/>
      <c r="AJ100" s="53"/>
      <c r="AK100" s="54"/>
      <c r="AL100" s="52"/>
      <c r="AM100" s="157"/>
      <c r="AN100" s="223"/>
      <c r="AO100" s="11"/>
      <c r="AP100" s="11"/>
      <c r="AQ100" s="59"/>
      <c r="AR100" s="157"/>
      <c r="AS100" s="157"/>
      <c r="AT100" s="54"/>
      <c r="AU100" s="220"/>
      <c r="AV100" s="11"/>
      <c r="AW100" s="11"/>
      <c r="AX100" s="50"/>
      <c r="AY100" s="50"/>
      <c r="AZ100" s="223"/>
      <c r="BA100" s="41">
        <f t="shared" si="4"/>
        <v>0</v>
      </c>
      <c r="BB100" s="63">
        <f t="shared" si="5"/>
        <v>0</v>
      </c>
      <c r="BC100" s="59"/>
      <c r="BD100" s="51"/>
      <c r="BE100" s="3"/>
      <c r="BF100" s="55"/>
      <c r="BG100" s="11"/>
      <c r="BH100" s="55"/>
      <c r="BI100" s="11"/>
      <c r="BJ100" s="55"/>
      <c r="BK100" s="11"/>
      <c r="BL100" s="55"/>
      <c r="BM100" s="11"/>
      <c r="BN100" s="55"/>
      <c r="BO100" s="11"/>
      <c r="BP100" s="55"/>
      <c r="BQ100" s="11"/>
      <c r="BR100" s="55"/>
      <c r="BS100" s="11"/>
      <c r="BT100" s="55"/>
      <c r="BU100" s="11"/>
      <c r="BV100" s="55"/>
      <c r="BW100" s="11"/>
      <c r="BX100" s="37"/>
    </row>
    <row r="101" spans="1:76" x14ac:dyDescent="0.25">
      <c r="A101" s="10">
        <v>45</v>
      </c>
      <c r="B101" s="237" t="s">
        <v>26</v>
      </c>
      <c r="C101" s="238">
        <v>42313</v>
      </c>
      <c r="D101" s="81"/>
      <c r="E101" s="81"/>
      <c r="F101" s="206"/>
      <c r="G101" s="206"/>
      <c r="H101" s="206" t="s">
        <v>241</v>
      </c>
      <c r="I101" s="208"/>
      <c r="J101" s="206"/>
      <c r="K101" s="206" t="s">
        <v>241</v>
      </c>
      <c r="L101" s="208"/>
      <c r="M101" s="3"/>
      <c r="N101" s="52"/>
      <c r="O101" s="213"/>
      <c r="P101" s="243"/>
      <c r="Q101" s="157"/>
      <c r="R101" s="223"/>
      <c r="S101" s="59"/>
      <c r="T101" s="54"/>
      <c r="U101" s="54"/>
      <c r="V101" s="54"/>
      <c r="W101" s="3"/>
      <c r="X101" s="14"/>
      <c r="Y101" s="217"/>
      <c r="Z101" s="52"/>
      <c r="AA101" s="157"/>
      <c r="AB101" s="223"/>
      <c r="AC101" s="26"/>
      <c r="AD101" s="26"/>
      <c r="AE101" s="64"/>
      <c r="AF101" s="64"/>
      <c r="AG101" s="157"/>
      <c r="AH101" s="223"/>
      <c r="AI101" s="26"/>
      <c r="AJ101" s="53"/>
      <c r="AK101" s="54"/>
      <c r="AL101" s="52"/>
      <c r="AM101" s="157"/>
      <c r="AN101" s="223"/>
      <c r="AO101" s="11"/>
      <c r="AP101" s="11"/>
      <c r="AQ101" s="59"/>
      <c r="AR101" s="157"/>
      <c r="AS101" s="157"/>
      <c r="AT101" s="54"/>
      <c r="AU101" s="220"/>
      <c r="AV101" s="11"/>
      <c r="AW101" s="11"/>
      <c r="AX101" s="50"/>
      <c r="AY101" s="50"/>
      <c r="AZ101" s="223"/>
      <c r="BA101" s="41">
        <f t="shared" si="4"/>
        <v>0</v>
      </c>
      <c r="BB101" s="63">
        <f t="shared" si="5"/>
        <v>0</v>
      </c>
      <c r="BC101" s="59"/>
      <c r="BD101" s="51"/>
      <c r="BE101" s="3"/>
      <c r="BF101" s="55"/>
      <c r="BG101" s="11"/>
      <c r="BH101" s="55"/>
      <c r="BI101" s="11"/>
      <c r="BJ101" s="55"/>
      <c r="BK101" s="11"/>
      <c r="BL101" s="55"/>
      <c r="BM101" s="11"/>
      <c r="BN101" s="55"/>
      <c r="BO101" s="11"/>
      <c r="BP101" s="55"/>
      <c r="BQ101" s="11"/>
      <c r="BR101" s="55"/>
      <c r="BS101" s="11"/>
      <c r="BT101" s="55"/>
      <c r="BU101" s="11"/>
      <c r="BV101" s="55"/>
      <c r="BW101" s="11"/>
      <c r="BX101" s="37"/>
    </row>
    <row r="102" spans="1:76" x14ac:dyDescent="0.25">
      <c r="A102" s="10"/>
      <c r="B102" s="237" t="s">
        <v>29</v>
      </c>
      <c r="C102" s="238">
        <v>42314</v>
      </c>
      <c r="D102" s="81"/>
      <c r="E102" s="81" t="s">
        <v>284</v>
      </c>
      <c r="F102" s="206"/>
      <c r="G102" s="206"/>
      <c r="H102" s="206"/>
      <c r="I102" s="208"/>
      <c r="J102" s="206"/>
      <c r="K102" s="206"/>
      <c r="L102" s="208"/>
      <c r="M102" s="3"/>
      <c r="N102" s="52"/>
      <c r="O102" s="213"/>
      <c r="P102" s="243"/>
      <c r="Q102" s="157"/>
      <c r="R102" s="223"/>
      <c r="S102" s="59"/>
      <c r="T102" s="54"/>
      <c r="U102" s="54"/>
      <c r="V102" s="54"/>
      <c r="W102" s="3"/>
      <c r="X102" s="14"/>
      <c r="Y102" s="217"/>
      <c r="Z102" s="52"/>
      <c r="AA102" s="157"/>
      <c r="AB102" s="223"/>
      <c r="AC102" s="26"/>
      <c r="AD102" s="26"/>
      <c r="AE102" s="64"/>
      <c r="AF102" s="64"/>
      <c r="AG102" s="157"/>
      <c r="AH102" s="223"/>
      <c r="AI102" s="26"/>
      <c r="AJ102" s="53"/>
      <c r="AK102" s="54"/>
      <c r="AL102" s="52"/>
      <c r="AM102" s="157"/>
      <c r="AN102" s="223"/>
      <c r="AO102" s="11"/>
      <c r="AP102" s="11"/>
      <c r="AQ102" s="59"/>
      <c r="AR102" s="157"/>
      <c r="AS102" s="157"/>
      <c r="AT102" s="54"/>
      <c r="AU102" s="220"/>
      <c r="AV102" s="11"/>
      <c r="AW102" s="11"/>
      <c r="AX102" s="50"/>
      <c r="AY102" s="50"/>
      <c r="AZ102" s="223"/>
      <c r="BA102" s="41">
        <f t="shared" si="4"/>
        <v>0</v>
      </c>
      <c r="BB102" s="63">
        <f t="shared" si="5"/>
        <v>0</v>
      </c>
      <c r="BC102" s="59"/>
      <c r="BD102" s="51"/>
      <c r="BE102" s="3"/>
      <c r="BF102" s="55"/>
      <c r="BG102" s="11"/>
      <c r="BH102" s="55"/>
      <c r="BI102" s="11"/>
      <c r="BJ102" s="55"/>
      <c r="BK102" s="11"/>
      <c r="BL102" s="55"/>
      <c r="BM102" s="11"/>
      <c r="BN102" s="55"/>
      <c r="BO102" s="11"/>
      <c r="BP102" s="55"/>
      <c r="BQ102" s="11"/>
      <c r="BR102" s="55"/>
      <c r="BS102" s="11"/>
      <c r="BT102" s="55"/>
      <c r="BU102" s="11"/>
      <c r="BV102" s="55"/>
      <c r="BW102" s="11"/>
      <c r="BX102" s="37"/>
    </row>
    <row r="103" spans="1:76" x14ac:dyDescent="0.25">
      <c r="A103" s="10"/>
      <c r="B103" s="237" t="s">
        <v>18</v>
      </c>
      <c r="C103" s="238">
        <v>42315</v>
      </c>
      <c r="D103" s="81"/>
      <c r="E103" s="81"/>
      <c r="F103" s="206"/>
      <c r="G103" s="206"/>
      <c r="H103" s="206" t="s">
        <v>241</v>
      </c>
      <c r="I103" s="208" t="s">
        <v>245</v>
      </c>
      <c r="J103" s="206"/>
      <c r="K103" s="206"/>
      <c r="L103" s="208" t="s">
        <v>283</v>
      </c>
      <c r="M103" s="3"/>
      <c r="N103" s="52"/>
      <c r="O103" s="213"/>
      <c r="P103" s="243"/>
      <c r="Q103" s="157"/>
      <c r="R103" s="223"/>
      <c r="S103" s="59"/>
      <c r="T103" s="54"/>
      <c r="U103" s="54"/>
      <c r="V103" s="54"/>
      <c r="W103" s="3"/>
      <c r="X103" s="14"/>
      <c r="Y103" s="217"/>
      <c r="Z103" s="52"/>
      <c r="AA103" s="157"/>
      <c r="AB103" s="223"/>
      <c r="AC103" s="26"/>
      <c r="AD103" s="26"/>
      <c r="AE103" s="64"/>
      <c r="AF103" s="64"/>
      <c r="AG103" s="157"/>
      <c r="AH103" s="223"/>
      <c r="AI103" s="26"/>
      <c r="AJ103" s="53"/>
      <c r="AK103" s="54"/>
      <c r="AL103" s="52"/>
      <c r="AM103" s="157"/>
      <c r="AN103" s="223"/>
      <c r="AO103" s="11"/>
      <c r="AP103" s="51"/>
      <c r="AQ103" s="59"/>
      <c r="AR103" s="157"/>
      <c r="AS103" s="157"/>
      <c r="AT103" s="54"/>
      <c r="AU103" s="220"/>
      <c r="AV103" s="26"/>
      <c r="AW103" s="26"/>
      <c r="AX103" s="64"/>
      <c r="AY103" s="64"/>
      <c r="AZ103" s="223"/>
      <c r="BA103" s="41">
        <f t="shared" ref="BA103:BA111" si="6">R103+S103+AB103+AH103+AN103+AQ103+AT103+AZ103</f>
        <v>0</v>
      </c>
      <c r="BB103" s="63">
        <f t="shared" ref="BB103:BB111" si="7">N103+U103+X103+AE103+AK103+AO103+AU103+AV103</f>
        <v>0</v>
      </c>
      <c r="BC103" s="59"/>
      <c r="BD103" s="51"/>
      <c r="BE103" s="3"/>
      <c r="BF103" s="55"/>
      <c r="BG103" s="11"/>
      <c r="BH103" s="55"/>
      <c r="BI103" s="11"/>
      <c r="BJ103" s="55"/>
      <c r="BK103" s="11"/>
      <c r="BL103" s="55"/>
      <c r="BM103" s="11"/>
      <c r="BN103" s="55"/>
      <c r="BO103" s="11"/>
      <c r="BP103" s="55"/>
      <c r="BQ103" s="11"/>
      <c r="BR103" s="55"/>
      <c r="BS103" s="11"/>
      <c r="BT103" s="55"/>
      <c r="BU103" s="11"/>
      <c r="BV103" s="55"/>
      <c r="BW103" s="11"/>
      <c r="BX103" s="37"/>
    </row>
    <row r="104" spans="1:76" x14ac:dyDescent="0.25">
      <c r="A104" s="56"/>
      <c r="B104" s="248" t="s">
        <v>27</v>
      </c>
      <c r="C104" s="249">
        <v>42316</v>
      </c>
      <c r="D104" s="85"/>
      <c r="E104" s="85"/>
      <c r="F104" s="207"/>
      <c r="G104" s="207" t="s">
        <v>241</v>
      </c>
      <c r="H104" s="207"/>
      <c r="I104" s="209"/>
      <c r="J104" s="207"/>
      <c r="K104" s="207"/>
      <c r="L104" s="209"/>
      <c r="M104" s="19"/>
      <c r="N104" s="22"/>
      <c r="O104" s="212"/>
      <c r="P104" s="242"/>
      <c r="Q104" s="156"/>
      <c r="R104" s="224"/>
      <c r="S104" s="57"/>
      <c r="T104" s="42"/>
      <c r="U104" s="42"/>
      <c r="V104" s="42"/>
      <c r="W104" s="19"/>
      <c r="X104" s="20"/>
      <c r="Y104" s="246"/>
      <c r="Z104" s="20"/>
      <c r="AA104" s="156"/>
      <c r="AB104" s="224"/>
      <c r="AC104" s="18"/>
      <c r="AD104" s="18"/>
      <c r="AE104" s="20"/>
      <c r="AF104" s="20"/>
      <c r="AG104" s="156"/>
      <c r="AH104" s="224"/>
      <c r="AI104" s="84"/>
      <c r="AJ104" s="31"/>
      <c r="AK104" s="42"/>
      <c r="AL104" s="20"/>
      <c r="AM104" s="156"/>
      <c r="AN104" s="224"/>
      <c r="AO104" s="18"/>
      <c r="AP104" s="21"/>
      <c r="AQ104" s="57"/>
      <c r="AR104" s="156"/>
      <c r="AS104" s="156"/>
      <c r="AT104" s="42"/>
      <c r="AU104" s="221"/>
      <c r="AV104" s="132"/>
      <c r="AW104" s="132"/>
      <c r="AX104" s="250"/>
      <c r="AY104" s="250"/>
      <c r="AZ104" s="224"/>
      <c r="BA104" s="225">
        <f t="shared" si="6"/>
        <v>0</v>
      </c>
      <c r="BB104" s="58">
        <f t="shared" si="7"/>
        <v>0</v>
      </c>
      <c r="BC104" s="57">
        <f>SUM(BA98:BA104)</f>
        <v>0</v>
      </c>
      <c r="BD104" s="21">
        <f>SUM(BB98:BB104)</f>
        <v>0</v>
      </c>
      <c r="BE104" s="19"/>
      <c r="BF104" s="36"/>
      <c r="BG104" s="18"/>
      <c r="BH104" s="36"/>
      <c r="BI104" s="18"/>
      <c r="BJ104" s="36"/>
      <c r="BK104" s="18"/>
      <c r="BL104" s="36"/>
      <c r="BM104" s="18"/>
      <c r="BN104" s="36"/>
      <c r="BO104" s="18"/>
      <c r="BP104" s="36"/>
      <c r="BQ104" s="18"/>
      <c r="BR104" s="36"/>
      <c r="BS104" s="18"/>
      <c r="BT104" s="36"/>
      <c r="BU104" s="18"/>
      <c r="BV104" s="36"/>
      <c r="BW104" s="18"/>
      <c r="BX104" s="38"/>
    </row>
    <row r="105" spans="1:76" x14ac:dyDescent="0.25">
      <c r="A105" s="10"/>
      <c r="B105" s="237" t="s">
        <v>0</v>
      </c>
      <c r="C105" s="238">
        <v>42317</v>
      </c>
      <c r="D105" s="81"/>
      <c r="E105" s="81"/>
      <c r="F105" s="206" t="s">
        <v>241</v>
      </c>
      <c r="G105" s="206"/>
      <c r="H105" s="206"/>
      <c r="I105" s="208"/>
      <c r="J105" s="206"/>
      <c r="K105" s="206"/>
      <c r="L105" s="208"/>
      <c r="M105" s="3"/>
      <c r="N105" s="52"/>
      <c r="O105" s="213"/>
      <c r="P105" s="243"/>
      <c r="Q105" s="157"/>
      <c r="R105" s="223"/>
      <c r="S105" s="59"/>
      <c r="T105" s="54"/>
      <c r="U105" s="54"/>
      <c r="V105" s="54"/>
      <c r="W105" s="3"/>
      <c r="X105" s="50"/>
      <c r="Y105" s="247"/>
      <c r="Z105" s="50"/>
      <c r="AA105" s="157"/>
      <c r="AB105" s="223"/>
      <c r="AC105" s="11"/>
      <c r="AD105" s="11"/>
      <c r="AE105" s="50"/>
      <c r="AF105" s="50"/>
      <c r="AG105" s="157"/>
      <c r="AH105" s="223"/>
      <c r="AI105" s="26"/>
      <c r="AJ105" s="53"/>
      <c r="AK105" s="54"/>
      <c r="AL105" s="50"/>
      <c r="AM105" s="157"/>
      <c r="AN105" s="223"/>
      <c r="AO105" s="11"/>
      <c r="AP105" s="11"/>
      <c r="AQ105" s="59"/>
      <c r="AR105" s="157"/>
      <c r="AS105" s="157"/>
      <c r="AT105" s="54"/>
      <c r="AU105" s="220"/>
      <c r="AV105" s="11"/>
      <c r="AW105" s="11"/>
      <c r="AX105" s="50"/>
      <c r="AY105" s="50"/>
      <c r="AZ105" s="223"/>
      <c r="BA105" s="41">
        <f t="shared" si="6"/>
        <v>0</v>
      </c>
      <c r="BB105" s="63">
        <f t="shared" si="7"/>
        <v>0</v>
      </c>
      <c r="BC105" s="59"/>
      <c r="BD105" s="51"/>
      <c r="BE105" s="3"/>
      <c r="BF105" s="9">
        <f>$BE$7-BE105</f>
        <v>80.599999999999994</v>
      </c>
      <c r="BH105" s="9">
        <f>$BG$7-BG105</f>
        <v>91</v>
      </c>
      <c r="BJ105" s="9">
        <f>$BI$7-BI105</f>
        <v>98</v>
      </c>
      <c r="BL105" s="9">
        <f>$BK$7-BK105</f>
        <v>101</v>
      </c>
      <c r="BM105"/>
      <c r="BN105" s="9">
        <f>$BM$7-BM105</f>
        <v>60</v>
      </c>
      <c r="BP105" s="9">
        <f>$BO$7-BO105</f>
        <v>59</v>
      </c>
      <c r="BQ105"/>
      <c r="BR105" s="9">
        <f>$BQ$7-BQ105</f>
        <v>41.5</v>
      </c>
      <c r="BS105"/>
      <c r="BT105" s="9">
        <f>$BS$7-BS105</f>
        <v>42</v>
      </c>
      <c r="BU105"/>
      <c r="BV105" s="9">
        <f>$BU$7-BU105</f>
        <v>31.5</v>
      </c>
      <c r="BX105" s="37">
        <f>$BW$7-BW105</f>
        <v>33</v>
      </c>
    </row>
    <row r="106" spans="1:76" x14ac:dyDescent="0.25">
      <c r="A106" s="10"/>
      <c r="B106" s="237" t="s">
        <v>24</v>
      </c>
      <c r="C106" s="238">
        <v>42318</v>
      </c>
      <c r="D106" s="81"/>
      <c r="E106" s="81"/>
      <c r="F106" s="206"/>
      <c r="G106" s="206"/>
      <c r="H106" s="206" t="s">
        <v>241</v>
      </c>
      <c r="I106" s="208" t="s">
        <v>245</v>
      </c>
      <c r="J106" s="206"/>
      <c r="K106" s="206"/>
      <c r="L106" s="208" t="s">
        <v>285</v>
      </c>
      <c r="M106" s="3"/>
      <c r="N106" s="52"/>
      <c r="O106" s="213"/>
      <c r="P106" s="243"/>
      <c r="Q106" s="157"/>
      <c r="R106" s="223"/>
      <c r="S106" s="59"/>
      <c r="T106" s="54"/>
      <c r="U106" s="54"/>
      <c r="V106" s="54"/>
      <c r="W106" s="3"/>
      <c r="X106" s="50"/>
      <c r="Y106" s="217"/>
      <c r="Z106" s="52"/>
      <c r="AA106" s="157"/>
      <c r="AB106" s="223"/>
      <c r="AC106" s="26"/>
      <c r="AD106" s="26"/>
      <c r="AE106" s="64"/>
      <c r="AF106" s="64"/>
      <c r="AG106" s="157"/>
      <c r="AH106" s="223"/>
      <c r="AI106" s="26"/>
      <c r="AJ106" s="53"/>
      <c r="AK106" s="54"/>
      <c r="AL106" s="52"/>
      <c r="AM106" s="157"/>
      <c r="AN106" s="223"/>
      <c r="AO106" s="11"/>
      <c r="AP106" s="51"/>
      <c r="AQ106" s="59"/>
      <c r="AR106" s="157"/>
      <c r="AS106" s="157"/>
      <c r="AT106" s="54"/>
      <c r="AU106" s="220"/>
      <c r="AV106" s="26"/>
      <c r="AW106" s="26"/>
      <c r="AX106" s="64"/>
      <c r="AY106" s="64"/>
      <c r="AZ106" s="223"/>
      <c r="BA106" s="41">
        <f t="shared" si="6"/>
        <v>0</v>
      </c>
      <c r="BB106" s="63">
        <f t="shared" si="7"/>
        <v>0</v>
      </c>
      <c r="BC106" s="59"/>
      <c r="BD106" s="51"/>
      <c r="BE106" s="3"/>
      <c r="BF106" s="55"/>
      <c r="BG106" s="11"/>
      <c r="BH106" s="55"/>
      <c r="BI106" s="11"/>
      <c r="BJ106" s="55"/>
      <c r="BK106" s="11"/>
      <c r="BL106" s="55"/>
      <c r="BM106" s="11"/>
      <c r="BN106" s="55"/>
      <c r="BO106" s="11"/>
      <c r="BP106" s="55"/>
      <c r="BQ106" s="11"/>
      <c r="BR106" s="55"/>
      <c r="BS106" s="11"/>
      <c r="BT106" s="55"/>
      <c r="BU106" s="11"/>
      <c r="BV106" s="55"/>
      <c r="BW106" s="11"/>
      <c r="BX106" s="37"/>
    </row>
    <row r="107" spans="1:76" x14ac:dyDescent="0.25">
      <c r="A107" s="10">
        <v>15</v>
      </c>
      <c r="B107" s="237" t="s">
        <v>15</v>
      </c>
      <c r="C107" s="238">
        <v>42319</v>
      </c>
      <c r="D107" s="81"/>
      <c r="E107" s="81"/>
      <c r="F107" s="206"/>
      <c r="G107" s="206"/>
      <c r="H107" s="206" t="s">
        <v>241</v>
      </c>
      <c r="I107" s="208"/>
      <c r="J107" s="206" t="s">
        <v>241</v>
      </c>
      <c r="K107" s="206"/>
      <c r="L107" s="208"/>
      <c r="M107" s="3"/>
      <c r="N107" s="52"/>
      <c r="O107" s="213"/>
      <c r="P107" s="243"/>
      <c r="Q107" s="157"/>
      <c r="R107" s="223"/>
      <c r="S107" s="59"/>
      <c r="T107" s="54"/>
      <c r="U107" s="54"/>
      <c r="V107" s="54"/>
      <c r="W107" s="3"/>
      <c r="X107" s="50"/>
      <c r="Y107" s="247"/>
      <c r="Z107" s="50"/>
      <c r="AA107" s="157"/>
      <c r="AB107" s="223"/>
      <c r="AC107" s="11"/>
      <c r="AD107" s="11"/>
      <c r="AE107" s="50"/>
      <c r="AF107" s="50"/>
      <c r="AG107" s="157"/>
      <c r="AH107" s="223"/>
      <c r="AI107" s="26"/>
      <c r="AJ107" s="53"/>
      <c r="AK107" s="54"/>
      <c r="AL107" s="50"/>
      <c r="AM107" s="157"/>
      <c r="AN107" s="223"/>
      <c r="AO107" s="11"/>
      <c r="AP107" s="51"/>
      <c r="AQ107" s="59"/>
      <c r="AR107" s="157"/>
      <c r="AS107" s="157"/>
      <c r="AT107" s="54"/>
      <c r="AU107" s="220"/>
      <c r="AV107" s="26"/>
      <c r="AW107" s="26"/>
      <c r="AX107" s="64"/>
      <c r="AY107" s="64"/>
      <c r="AZ107" s="223"/>
      <c r="BA107" s="41">
        <f t="shared" si="6"/>
        <v>0</v>
      </c>
      <c r="BB107" s="63">
        <f t="shared" si="7"/>
        <v>0</v>
      </c>
      <c r="BC107" s="59"/>
      <c r="BD107" s="51"/>
      <c r="BE107" s="3"/>
      <c r="BF107" s="55"/>
      <c r="BG107" s="11"/>
      <c r="BH107" s="55"/>
      <c r="BI107" s="11"/>
      <c r="BJ107" s="55"/>
      <c r="BK107" s="11"/>
      <c r="BL107" s="55"/>
      <c r="BM107" s="11"/>
      <c r="BN107" s="55"/>
      <c r="BO107" s="11"/>
      <c r="BP107" s="55"/>
      <c r="BQ107" s="11"/>
      <c r="BR107" s="55"/>
      <c r="BS107" s="11"/>
      <c r="BT107" s="55"/>
      <c r="BU107" s="11"/>
      <c r="BV107" s="55"/>
      <c r="BW107" s="11"/>
      <c r="BX107" s="37"/>
    </row>
    <row r="108" spans="1:76" x14ac:dyDescent="0.25">
      <c r="A108" s="10">
        <v>46</v>
      </c>
      <c r="B108" s="237" t="s">
        <v>26</v>
      </c>
      <c r="C108" s="238">
        <v>42320</v>
      </c>
      <c r="D108" s="238"/>
      <c r="E108" s="238" t="s">
        <v>284</v>
      </c>
      <c r="F108" s="206"/>
      <c r="G108" s="206"/>
      <c r="H108" s="206"/>
      <c r="I108" s="208"/>
      <c r="J108" s="206"/>
      <c r="K108" s="206"/>
      <c r="L108" s="208"/>
      <c r="M108" s="3"/>
      <c r="N108" s="52"/>
      <c r="O108" s="213"/>
      <c r="P108" s="243"/>
      <c r="Q108" s="157"/>
      <c r="R108" s="223"/>
      <c r="S108" s="59"/>
      <c r="T108" s="54"/>
      <c r="U108" s="54"/>
      <c r="V108" s="54"/>
      <c r="W108" s="3"/>
      <c r="X108" s="50"/>
      <c r="Y108" s="247"/>
      <c r="Z108" s="50"/>
      <c r="AA108" s="157"/>
      <c r="AB108" s="223"/>
      <c r="AC108" s="11"/>
      <c r="AD108" s="11"/>
      <c r="AE108" s="50"/>
      <c r="AF108" s="50"/>
      <c r="AG108" s="157"/>
      <c r="AH108" s="223"/>
      <c r="AI108" s="26"/>
      <c r="AJ108" s="53"/>
      <c r="AK108" s="54"/>
      <c r="AL108" s="50"/>
      <c r="AM108" s="157"/>
      <c r="AN108" s="223"/>
      <c r="AO108" s="11"/>
      <c r="AP108" s="51"/>
      <c r="AQ108" s="59"/>
      <c r="AR108" s="157"/>
      <c r="AS108" s="157"/>
      <c r="AT108" s="54"/>
      <c r="AU108" s="220"/>
      <c r="AV108" s="26"/>
      <c r="AW108" s="26"/>
      <c r="AX108" s="64"/>
      <c r="AY108" s="64"/>
      <c r="AZ108" s="223"/>
      <c r="BA108" s="41">
        <f t="shared" si="6"/>
        <v>0</v>
      </c>
      <c r="BB108" s="63">
        <f t="shared" si="7"/>
        <v>0</v>
      </c>
      <c r="BC108" s="59"/>
      <c r="BD108" s="51"/>
      <c r="BE108" s="3"/>
      <c r="BF108" s="55"/>
      <c r="BG108" s="11"/>
      <c r="BH108" s="55"/>
      <c r="BI108" s="11"/>
      <c r="BJ108" s="55"/>
      <c r="BK108" s="11"/>
      <c r="BL108" s="55"/>
      <c r="BM108" s="11"/>
      <c r="BN108" s="55"/>
      <c r="BO108" s="11"/>
      <c r="BP108" s="55"/>
      <c r="BQ108" s="11"/>
      <c r="BR108" s="55"/>
      <c r="BS108" s="11"/>
      <c r="BT108" s="55"/>
      <c r="BU108" s="11"/>
      <c r="BV108" s="55"/>
      <c r="BW108" s="11"/>
      <c r="BX108" s="37"/>
    </row>
    <row r="109" spans="1:76" x14ac:dyDescent="0.25">
      <c r="A109" s="10"/>
      <c r="B109" s="237" t="s">
        <v>29</v>
      </c>
      <c r="C109" s="238">
        <v>42321</v>
      </c>
      <c r="D109" s="81"/>
      <c r="E109" s="81"/>
      <c r="F109" s="206" t="s">
        <v>241</v>
      </c>
      <c r="G109" s="206"/>
      <c r="H109" s="206"/>
      <c r="I109" s="208"/>
      <c r="J109" s="206"/>
      <c r="K109" s="206"/>
      <c r="L109" s="208"/>
      <c r="M109" s="3"/>
      <c r="N109" s="52"/>
      <c r="O109" s="213"/>
      <c r="P109" s="243"/>
      <c r="Q109" s="157"/>
      <c r="R109" s="223"/>
      <c r="S109" s="59"/>
      <c r="T109" s="54"/>
      <c r="U109" s="54"/>
      <c r="V109" s="54"/>
      <c r="W109" s="3"/>
      <c r="X109" s="50"/>
      <c r="Y109" s="247"/>
      <c r="Z109" s="50"/>
      <c r="AA109" s="157"/>
      <c r="AB109" s="223"/>
      <c r="AC109" s="11"/>
      <c r="AD109" s="11"/>
      <c r="AE109" s="50"/>
      <c r="AF109" s="50"/>
      <c r="AG109" s="157"/>
      <c r="AH109" s="223"/>
      <c r="AI109" s="26"/>
      <c r="AJ109" s="53"/>
      <c r="AK109" s="54"/>
      <c r="AL109" s="50"/>
      <c r="AM109" s="157"/>
      <c r="AN109" s="223"/>
      <c r="AO109" s="11"/>
      <c r="AP109" s="51"/>
      <c r="AQ109" s="59"/>
      <c r="AR109" s="157"/>
      <c r="AS109" s="157"/>
      <c r="AT109" s="54"/>
      <c r="AU109" s="220"/>
      <c r="AV109" s="26"/>
      <c r="AW109" s="26"/>
      <c r="AX109" s="64"/>
      <c r="AY109" s="64"/>
      <c r="AZ109" s="223"/>
      <c r="BA109" s="41">
        <f t="shared" si="6"/>
        <v>0</v>
      </c>
      <c r="BB109" s="63">
        <f t="shared" si="7"/>
        <v>0</v>
      </c>
      <c r="BC109" s="59"/>
      <c r="BD109" s="51"/>
      <c r="BE109" s="3"/>
      <c r="BF109" s="55"/>
      <c r="BG109" s="11"/>
      <c r="BH109" s="55"/>
      <c r="BI109" s="11"/>
      <c r="BJ109" s="55"/>
      <c r="BK109" s="11"/>
      <c r="BL109" s="55"/>
      <c r="BM109" s="11"/>
      <c r="BN109" s="55"/>
      <c r="BO109" s="11"/>
      <c r="BP109" s="55"/>
      <c r="BQ109" s="11"/>
      <c r="BR109" s="55"/>
      <c r="BS109" s="11"/>
      <c r="BT109" s="55"/>
      <c r="BU109" s="11"/>
      <c r="BV109" s="55"/>
      <c r="BW109" s="11"/>
      <c r="BX109" s="37"/>
    </row>
    <row r="110" spans="1:76" x14ac:dyDescent="0.25">
      <c r="A110" s="10"/>
      <c r="B110" s="237" t="s">
        <v>18</v>
      </c>
      <c r="C110" s="238">
        <v>42322</v>
      </c>
      <c r="D110" s="81"/>
      <c r="E110" s="81" t="s">
        <v>284</v>
      </c>
      <c r="F110" s="206"/>
      <c r="G110" s="206"/>
      <c r="H110" s="206"/>
      <c r="I110" s="208"/>
      <c r="J110" s="206"/>
      <c r="K110" s="206"/>
      <c r="L110" s="208"/>
      <c r="M110" s="3"/>
      <c r="N110" s="52"/>
      <c r="O110" s="213"/>
      <c r="P110" s="243"/>
      <c r="Q110" s="157"/>
      <c r="R110" s="223"/>
      <c r="S110" s="59"/>
      <c r="T110" s="54"/>
      <c r="U110" s="54"/>
      <c r="V110" s="54"/>
      <c r="W110" s="3"/>
      <c r="X110" s="50"/>
      <c r="Y110" s="217"/>
      <c r="Z110" s="52"/>
      <c r="AA110" s="157"/>
      <c r="AB110" s="223"/>
      <c r="AC110" s="26"/>
      <c r="AD110" s="26"/>
      <c r="AE110" s="64"/>
      <c r="AF110" s="64"/>
      <c r="AG110" s="157"/>
      <c r="AH110" s="223"/>
      <c r="AI110" s="26"/>
      <c r="AJ110" s="53"/>
      <c r="AK110" s="54"/>
      <c r="AL110" s="52"/>
      <c r="AM110" s="157"/>
      <c r="AN110" s="223"/>
      <c r="AO110" s="11"/>
      <c r="AP110" s="11"/>
      <c r="AQ110" s="59"/>
      <c r="AR110" s="157"/>
      <c r="AS110" s="157"/>
      <c r="AT110" s="54"/>
      <c r="AU110" s="220"/>
      <c r="AV110" s="11"/>
      <c r="AW110" s="11"/>
      <c r="AX110" s="50"/>
      <c r="AY110" s="50"/>
      <c r="AZ110" s="223"/>
      <c r="BA110" s="41">
        <f t="shared" si="6"/>
        <v>0</v>
      </c>
      <c r="BB110" s="63">
        <f t="shared" si="7"/>
        <v>0</v>
      </c>
      <c r="BC110" s="59"/>
      <c r="BD110" s="51"/>
      <c r="BE110" s="3"/>
      <c r="BF110" s="55"/>
      <c r="BG110" s="11"/>
      <c r="BH110" s="55"/>
      <c r="BI110" s="11"/>
      <c r="BJ110" s="55"/>
      <c r="BK110" s="11"/>
      <c r="BL110" s="55"/>
      <c r="BM110" s="11"/>
      <c r="BN110" s="55"/>
      <c r="BO110" s="11"/>
      <c r="BP110" s="55"/>
      <c r="BQ110" s="11"/>
      <c r="BR110" s="55"/>
      <c r="BS110" s="11"/>
      <c r="BT110" s="55"/>
      <c r="BU110" s="11"/>
      <c r="BV110" s="55"/>
      <c r="BW110" s="11"/>
      <c r="BX110" s="37"/>
    </row>
    <row r="111" spans="1:76" x14ac:dyDescent="0.25">
      <c r="A111" s="56"/>
      <c r="B111" s="248" t="s">
        <v>27</v>
      </c>
      <c r="C111" s="249">
        <v>42323</v>
      </c>
      <c r="D111" s="85" t="s">
        <v>280</v>
      </c>
      <c r="E111" s="85"/>
      <c r="F111" s="207"/>
      <c r="G111" s="207"/>
      <c r="H111" s="207"/>
      <c r="I111" s="209"/>
      <c r="J111" s="207"/>
      <c r="K111" s="207"/>
      <c r="L111" s="209"/>
      <c r="M111" s="19"/>
      <c r="N111" s="22"/>
      <c r="O111" s="212"/>
      <c r="P111" s="242"/>
      <c r="Q111" s="156"/>
      <c r="R111" s="224"/>
      <c r="S111" s="57"/>
      <c r="T111" s="42"/>
      <c r="U111" s="42"/>
      <c r="V111" s="42"/>
      <c r="W111" s="19"/>
      <c r="X111" s="20"/>
      <c r="Y111" s="246"/>
      <c r="Z111" s="20"/>
      <c r="AA111" s="156"/>
      <c r="AB111" s="224"/>
      <c r="AC111" s="18"/>
      <c r="AD111" s="18"/>
      <c r="AE111" s="20"/>
      <c r="AF111" s="20"/>
      <c r="AG111" s="156"/>
      <c r="AH111" s="224"/>
      <c r="AI111" s="84"/>
      <c r="AJ111" s="31"/>
      <c r="AK111" s="42"/>
      <c r="AL111" s="20"/>
      <c r="AM111" s="156"/>
      <c r="AN111" s="224"/>
      <c r="AO111" s="18"/>
      <c r="AP111" s="21"/>
      <c r="AQ111" s="57"/>
      <c r="AR111" s="156"/>
      <c r="AS111" s="156"/>
      <c r="AT111" s="42"/>
      <c r="AU111" s="221"/>
      <c r="AV111" s="18"/>
      <c r="AW111" s="18"/>
      <c r="AX111" s="20"/>
      <c r="AY111" s="20"/>
      <c r="AZ111" s="224"/>
      <c r="BA111" s="225">
        <f t="shared" si="6"/>
        <v>0</v>
      </c>
      <c r="BB111" s="58">
        <f t="shared" si="7"/>
        <v>0</v>
      </c>
      <c r="BC111" s="57">
        <f>SUM(BA105:BA111)</f>
        <v>0</v>
      </c>
      <c r="BD111" s="21">
        <f>SUM(BB105:BB111)</f>
        <v>0</v>
      </c>
      <c r="BE111" s="19"/>
      <c r="BF111" s="36"/>
      <c r="BG111" s="18"/>
      <c r="BH111" s="36"/>
      <c r="BI111" s="18"/>
      <c r="BJ111" s="36"/>
      <c r="BK111" s="18"/>
      <c r="BL111" s="36"/>
      <c r="BM111" s="18"/>
      <c r="BN111" s="36"/>
      <c r="BO111" s="18"/>
      <c r="BP111" s="36"/>
      <c r="BQ111" s="18"/>
      <c r="BR111" s="36"/>
      <c r="BS111" s="18"/>
      <c r="BT111" s="36"/>
      <c r="BU111" s="18"/>
      <c r="BV111" s="36"/>
      <c r="BW111" s="18"/>
      <c r="BX111" s="38"/>
    </row>
    <row r="112" spans="1:76" s="9" customFormat="1" x14ac:dyDescent="0.25">
      <c r="A112" s="6"/>
      <c r="B112"/>
      <c r="C112"/>
      <c r="D112" s="81"/>
      <c r="E112" s="81"/>
      <c r="F112" s="30"/>
      <c r="G112" s="53"/>
      <c r="H112" s="30"/>
      <c r="I112" s="210"/>
      <c r="J112" s="30"/>
      <c r="K112" s="30"/>
      <c r="L112" s="210"/>
      <c r="M112"/>
      <c r="N112" s="41"/>
      <c r="O112" s="30"/>
      <c r="P112" s="241"/>
      <c r="Q112" s="147"/>
      <c r="R112" s="41"/>
      <c r="S112" s="46"/>
      <c r="T112" s="41"/>
      <c r="U112" s="41"/>
      <c r="V112" s="41"/>
      <c r="W112"/>
      <c r="X112" s="13"/>
      <c r="Y112" s="112"/>
      <c r="Z112" s="13"/>
      <c r="AA112" s="147"/>
      <c r="AB112" s="41"/>
      <c r="AC112"/>
      <c r="AD112"/>
      <c r="AE112" s="13"/>
      <c r="AF112" s="13"/>
      <c r="AG112" s="147"/>
      <c r="AH112" s="41"/>
      <c r="AI112" s="46"/>
      <c r="AJ112" s="30"/>
      <c r="AK112" s="41"/>
      <c r="AL112" s="13"/>
      <c r="AM112" s="147"/>
      <c r="AN112" s="41"/>
      <c r="AO112"/>
      <c r="AP112"/>
      <c r="AQ112" s="46"/>
      <c r="AR112" s="147"/>
      <c r="AS112" s="147"/>
      <c r="AT112" s="41"/>
      <c r="AU112" s="147"/>
      <c r="AV112"/>
      <c r="AW112"/>
      <c r="AX112" s="13"/>
      <c r="AY112" s="13"/>
      <c r="AZ112" s="41"/>
      <c r="BA112" s="13"/>
      <c r="BB112" s="13"/>
      <c r="BC112" s="13"/>
      <c r="BD112" s="13"/>
      <c r="BE112"/>
      <c r="BG112"/>
      <c r="BI112"/>
      <c r="BK112"/>
      <c r="BO112"/>
      <c r="BQ112"/>
      <c r="BS112"/>
      <c r="BU112"/>
      <c r="BW112"/>
    </row>
    <row r="113" spans="1:75" s="9" customFormat="1" x14ac:dyDescent="0.25">
      <c r="A113" s="6"/>
      <c r="B113"/>
      <c r="C113"/>
      <c r="D113" s="81"/>
      <c r="E113" s="81"/>
      <c r="F113" s="30"/>
      <c r="G113" s="53"/>
      <c r="H113" s="30"/>
      <c r="I113" s="210"/>
      <c r="J113" s="30"/>
      <c r="K113" s="30"/>
      <c r="L113" s="210"/>
      <c r="M113"/>
      <c r="N113" s="41"/>
      <c r="O113" s="30"/>
      <c r="P113" s="241"/>
      <c r="Q113" s="147"/>
      <c r="R113" s="41"/>
      <c r="S113" s="46"/>
      <c r="T113" s="41"/>
      <c r="U113" s="41"/>
      <c r="V113" s="41"/>
      <c r="W113"/>
      <c r="X113" s="13"/>
      <c r="Y113" s="112"/>
      <c r="Z113" s="13"/>
      <c r="AA113" s="147"/>
      <c r="AB113" s="41"/>
      <c r="AC113"/>
      <c r="AD113"/>
      <c r="AE113" s="13"/>
      <c r="AF113" s="13"/>
      <c r="AG113" s="147"/>
      <c r="AH113" s="41"/>
      <c r="AI113" s="46"/>
      <c r="AJ113" s="30"/>
      <c r="AK113" s="41"/>
      <c r="AL113" s="13"/>
      <c r="AM113" s="147"/>
      <c r="AN113" s="41"/>
      <c r="AO113"/>
      <c r="AP113"/>
      <c r="AQ113" s="46"/>
      <c r="AR113" s="147"/>
      <c r="AS113" s="147"/>
      <c r="AT113" s="41"/>
      <c r="AU113" s="147"/>
      <c r="AV113"/>
      <c r="AW113"/>
      <c r="AX113" s="13"/>
      <c r="AY113" s="13"/>
      <c r="AZ113" s="41"/>
      <c r="BA113" s="13">
        <f>SUM(BA7:BA112)</f>
        <v>653.87000000000023</v>
      </c>
      <c r="BB113" s="14">
        <f>SUM(BB7:BB112)</f>
        <v>2.148923611111111</v>
      </c>
      <c r="BC113" s="35">
        <f>SUM(BC7:BC111)</f>
        <v>653.86999999999989</v>
      </c>
      <c r="BD113" s="21">
        <f>SUM(BD7:BD112)</f>
        <v>3.1232754629629627</v>
      </c>
      <c r="BE113"/>
      <c r="BG113"/>
      <c r="BI113"/>
      <c r="BK113"/>
      <c r="BO113"/>
      <c r="BQ113"/>
      <c r="BS113"/>
      <c r="BU113"/>
      <c r="BW113"/>
    </row>
    <row r="114" spans="1:75" s="9" customFormat="1" x14ac:dyDescent="0.25">
      <c r="A114" s="6"/>
      <c r="B114"/>
      <c r="C114"/>
      <c r="D114" s="81"/>
      <c r="E114" s="81"/>
      <c r="F114" s="30"/>
      <c r="G114" s="53"/>
      <c r="H114" s="30"/>
      <c r="I114" s="210"/>
      <c r="J114" s="30"/>
      <c r="K114" s="30"/>
      <c r="L114" s="210"/>
      <c r="M114"/>
      <c r="N114" s="46"/>
      <c r="O114" s="30"/>
      <c r="P114" s="241"/>
      <c r="Q114" s="147"/>
      <c r="R114" s="41"/>
      <c r="S114" s="46"/>
      <c r="T114" s="41"/>
      <c r="U114" s="41"/>
      <c r="V114" s="41"/>
      <c r="W114"/>
      <c r="X114" s="13"/>
      <c r="Y114" s="112"/>
      <c r="Z114" s="13"/>
      <c r="AA114" s="147"/>
      <c r="AB114" s="41"/>
      <c r="AC114"/>
      <c r="AD114"/>
      <c r="AE114" s="13"/>
      <c r="AF114" s="13"/>
      <c r="AG114" s="147"/>
      <c r="AH114" s="41"/>
      <c r="AI114" s="46"/>
      <c r="AJ114" s="30"/>
      <c r="AK114" s="13"/>
      <c r="AL114" s="13"/>
      <c r="AM114" s="147"/>
      <c r="AN114" s="41"/>
      <c r="AO114"/>
      <c r="AP114"/>
      <c r="AQ114" s="46"/>
      <c r="AR114" s="147"/>
      <c r="AS114" s="147"/>
      <c r="AT114" s="41"/>
      <c r="AU114" s="147"/>
      <c r="AV114"/>
      <c r="AW114"/>
      <c r="AX114" s="13"/>
      <c r="AY114" s="13"/>
      <c r="AZ114" s="41"/>
      <c r="BA114" s="41"/>
      <c r="BB114" s="13"/>
      <c r="BC114" s="13"/>
      <c r="BD114" s="13"/>
      <c r="BE114"/>
      <c r="BG114"/>
      <c r="BI114"/>
      <c r="BK114"/>
      <c r="BO114"/>
      <c r="BQ114"/>
      <c r="BS114"/>
      <c r="BU114"/>
      <c r="BW114"/>
    </row>
    <row r="115" spans="1:75" s="9" customFormat="1" x14ac:dyDescent="0.25">
      <c r="A115" s="6"/>
      <c r="B115"/>
      <c r="C115"/>
      <c r="D115" s="81"/>
      <c r="E115" s="81"/>
      <c r="F115" s="30"/>
      <c r="G115" s="53"/>
      <c r="H115" s="30"/>
      <c r="I115" s="210"/>
      <c r="J115" s="30"/>
      <c r="K115" s="30"/>
      <c r="L115" s="210"/>
      <c r="M115"/>
      <c r="N115" s="41"/>
      <c r="O115" s="30"/>
      <c r="P115" s="241"/>
      <c r="Q115" s="147"/>
      <c r="R115" s="41"/>
      <c r="S115" s="46"/>
      <c r="T115" s="41"/>
      <c r="U115" s="41"/>
      <c r="V115" s="41"/>
      <c r="W115"/>
      <c r="X115" s="13"/>
      <c r="Y115" s="112"/>
      <c r="Z115" s="13"/>
      <c r="AA115" s="147"/>
      <c r="AB115" s="41"/>
      <c r="AC115"/>
      <c r="AD115"/>
      <c r="AE115" s="13"/>
      <c r="AF115" s="13"/>
      <c r="AG115" s="147"/>
      <c r="AH115" s="41"/>
      <c r="AI115" s="46"/>
      <c r="AJ115" s="30"/>
      <c r="AK115" s="41"/>
      <c r="AL115" s="13"/>
      <c r="AM115" s="147"/>
      <c r="AN115" s="41"/>
      <c r="AO115"/>
      <c r="AP115"/>
      <c r="AQ115" s="46"/>
      <c r="AR115" s="147"/>
      <c r="AS115" s="147"/>
      <c r="AT115" s="41"/>
      <c r="AU115" s="147"/>
      <c r="AV115"/>
      <c r="AW115"/>
      <c r="AX115" s="13"/>
      <c r="AY115" s="13"/>
      <c r="AZ115" s="41"/>
      <c r="BA115" s="41"/>
      <c r="BB115" s="13"/>
      <c r="BC115" s="13"/>
      <c r="BD115" s="13"/>
      <c r="BE115"/>
      <c r="BG115"/>
      <c r="BI115"/>
      <c r="BK115"/>
      <c r="BO115"/>
      <c r="BQ115"/>
      <c r="BS115"/>
      <c r="BU115"/>
      <c r="BW115"/>
    </row>
    <row r="116" spans="1:75" s="9" customFormat="1" x14ac:dyDescent="0.25">
      <c r="A116" s="6"/>
      <c r="B116"/>
      <c r="C116"/>
      <c r="D116" s="81"/>
      <c r="E116" s="81"/>
      <c r="F116" s="30"/>
      <c r="G116" s="53"/>
      <c r="H116" s="30"/>
      <c r="I116" s="210"/>
      <c r="J116" s="30"/>
      <c r="K116" s="30"/>
      <c r="L116" s="210"/>
      <c r="M116"/>
      <c r="N116" s="41"/>
      <c r="O116" s="30"/>
      <c r="P116" s="241"/>
      <c r="Q116" s="147"/>
      <c r="R116" s="41"/>
      <c r="S116" s="46"/>
      <c r="T116" s="41"/>
      <c r="U116" s="41"/>
      <c r="V116" s="41"/>
      <c r="W116"/>
      <c r="X116" s="13"/>
      <c r="Y116" s="112"/>
      <c r="Z116" s="13"/>
      <c r="AA116" s="147"/>
      <c r="AB116" s="41"/>
      <c r="AC116"/>
      <c r="AD116"/>
      <c r="AE116" s="13"/>
      <c r="AF116" s="13"/>
      <c r="AG116" s="147"/>
      <c r="AH116" s="41"/>
      <c r="AI116" s="46"/>
      <c r="AJ116" s="30"/>
      <c r="AK116" s="41"/>
      <c r="AL116" s="13"/>
      <c r="AM116" s="147"/>
      <c r="AN116" s="41"/>
      <c r="AO116"/>
      <c r="AP116"/>
      <c r="AQ116" s="46"/>
      <c r="AR116" s="147"/>
      <c r="AS116" s="147"/>
      <c r="AT116" s="41"/>
      <c r="AU116" s="147"/>
      <c r="AV116"/>
      <c r="AW116"/>
      <c r="AX116" s="13"/>
      <c r="AY116" s="13"/>
      <c r="AZ116" s="41"/>
      <c r="BA116" s="13"/>
      <c r="BB116" s="13"/>
      <c r="BC116" s="13"/>
      <c r="BD116" s="13"/>
      <c r="BE116"/>
      <c r="BG116"/>
      <c r="BI116"/>
      <c r="BK116"/>
      <c r="BO116"/>
      <c r="BQ116"/>
      <c r="BS116"/>
      <c r="BU116"/>
      <c r="BW116"/>
    </row>
    <row r="117" spans="1:75" s="9" customFormat="1" x14ac:dyDescent="0.25">
      <c r="A117"/>
      <c r="B117"/>
      <c r="C117"/>
      <c r="D117" s="81"/>
      <c r="E117" s="81"/>
      <c r="F117" s="30"/>
      <c r="G117" s="53"/>
      <c r="H117" s="30"/>
      <c r="I117" s="210"/>
      <c r="J117" s="30"/>
      <c r="K117" s="30"/>
      <c r="L117" s="210"/>
      <c r="M117"/>
      <c r="N117" s="41"/>
      <c r="O117" s="30"/>
      <c r="P117" s="241"/>
      <c r="Q117" s="13"/>
      <c r="R117" s="41"/>
      <c r="S117" s="46"/>
      <c r="T117" s="41"/>
      <c r="U117" s="41"/>
      <c r="V117" s="41"/>
      <c r="W117"/>
      <c r="X117" s="13"/>
      <c r="Y117" s="112"/>
      <c r="Z117" s="13"/>
      <c r="AA117" s="147"/>
      <c r="AB117" s="41"/>
      <c r="AC117"/>
      <c r="AD117"/>
      <c r="AE117" s="13"/>
      <c r="AF117" s="13"/>
      <c r="AG117" s="147"/>
      <c r="AH117" s="41"/>
      <c r="AI117" s="46"/>
      <c r="AJ117" s="30"/>
      <c r="AK117" s="41"/>
      <c r="AL117" s="13"/>
      <c r="AM117" s="13"/>
      <c r="AN117" s="41"/>
      <c r="AO117"/>
      <c r="AP117"/>
      <c r="AQ117" s="46"/>
      <c r="AR117" s="13"/>
      <c r="AS117" s="13"/>
      <c r="AT117" s="41"/>
      <c r="AU117" s="13"/>
      <c r="AV117"/>
      <c r="AW117"/>
      <c r="AX117" s="13"/>
      <c r="AY117" s="13"/>
      <c r="AZ117" s="41"/>
      <c r="BA117" s="13"/>
      <c r="BB117" s="13"/>
      <c r="BC117" s="13"/>
      <c r="BD117" s="13"/>
      <c r="BE117"/>
      <c r="BG117"/>
      <c r="BI117"/>
      <c r="BK117"/>
      <c r="BO117"/>
      <c r="BQ117"/>
      <c r="BS117"/>
      <c r="BU117"/>
      <c r="BW117"/>
    </row>
    <row r="118" spans="1:75" s="9" customFormat="1" x14ac:dyDescent="0.25">
      <c r="A118"/>
      <c r="B118"/>
      <c r="C118"/>
      <c r="D118" s="81"/>
      <c r="E118" s="81"/>
      <c r="F118" s="30"/>
      <c r="G118" s="53"/>
      <c r="H118" s="30"/>
      <c r="I118" s="210"/>
      <c r="J118" s="30"/>
      <c r="K118" s="30"/>
      <c r="L118" s="210"/>
      <c r="M118"/>
      <c r="N118" s="41"/>
      <c r="O118" s="30"/>
      <c r="P118" s="241"/>
      <c r="Q118" s="13"/>
      <c r="R118" s="41"/>
      <c r="S118" s="46"/>
      <c r="T118" s="41"/>
      <c r="U118" s="41"/>
      <c r="V118" s="41"/>
      <c r="W118"/>
      <c r="X118" s="13"/>
      <c r="Y118" s="112"/>
      <c r="Z118" s="13"/>
      <c r="AA118" s="147"/>
      <c r="AB118" s="41"/>
      <c r="AC118"/>
      <c r="AD118"/>
      <c r="AE118" s="13"/>
      <c r="AF118" s="13"/>
      <c r="AG118" s="147"/>
      <c r="AH118" s="41"/>
      <c r="AI118" s="46"/>
      <c r="AJ118" s="30"/>
      <c r="AK118" s="41"/>
      <c r="AL118" s="13"/>
      <c r="AM118" s="13"/>
      <c r="AN118" s="41"/>
      <c r="AO118"/>
      <c r="AP118"/>
      <c r="AQ118" s="46"/>
      <c r="AR118" s="13"/>
      <c r="AS118" s="13"/>
      <c r="AT118" s="41"/>
      <c r="AU118" s="13"/>
      <c r="AV118"/>
      <c r="AW118"/>
      <c r="AX118" s="13"/>
      <c r="AY118" s="13"/>
      <c r="AZ118" s="41"/>
      <c r="BA118" s="13"/>
      <c r="BB118" s="13"/>
      <c r="BC118" s="13"/>
      <c r="BD118" s="13"/>
      <c r="BE118"/>
      <c r="BG118"/>
      <c r="BI118"/>
      <c r="BK118"/>
      <c r="BO118"/>
      <c r="BQ118"/>
      <c r="BS118"/>
      <c r="BU118"/>
      <c r="BW118"/>
    </row>
    <row r="119" spans="1:75" s="9" customFormat="1" x14ac:dyDescent="0.25">
      <c r="A119"/>
      <c r="B119"/>
      <c r="C119"/>
      <c r="D119" s="81"/>
      <c r="E119" s="81"/>
      <c r="F119" s="30"/>
      <c r="G119" s="53"/>
      <c r="H119" s="30"/>
      <c r="I119" s="210"/>
      <c r="J119" s="30"/>
      <c r="K119" s="30"/>
      <c r="L119" s="210"/>
      <c r="M119"/>
      <c r="N119" s="41"/>
      <c r="O119" s="30"/>
      <c r="P119" s="241"/>
      <c r="Q119" s="13"/>
      <c r="R119" s="41"/>
      <c r="S119" s="46"/>
      <c r="T119" s="41"/>
      <c r="U119" s="41"/>
      <c r="V119" s="41"/>
      <c r="W119"/>
      <c r="X119" s="13"/>
      <c r="Y119" s="112"/>
      <c r="Z119" s="13"/>
      <c r="AA119" s="147"/>
      <c r="AB119" s="41"/>
      <c r="AC119"/>
      <c r="AD119"/>
      <c r="AE119" s="13"/>
      <c r="AF119" s="13"/>
      <c r="AG119" s="147"/>
      <c r="AH119" s="41"/>
      <c r="AI119" s="46"/>
      <c r="AJ119" s="30"/>
      <c r="AK119" s="41"/>
      <c r="AL119" s="13"/>
      <c r="AM119" s="13"/>
      <c r="AN119" s="41"/>
      <c r="AO119"/>
      <c r="AP119"/>
      <c r="AQ119" s="46"/>
      <c r="AR119" s="13"/>
      <c r="AS119" s="13"/>
      <c r="AT119" s="41"/>
      <c r="AU119" s="13"/>
      <c r="AV119"/>
      <c r="AW119"/>
      <c r="AX119" s="13"/>
      <c r="AY119" s="13"/>
      <c r="AZ119" s="41"/>
      <c r="BA119" s="13"/>
      <c r="BB119" s="13"/>
      <c r="BC119" s="13"/>
      <c r="BD119" s="13"/>
      <c r="BE119"/>
      <c r="BG119"/>
      <c r="BI119"/>
      <c r="BK119"/>
      <c r="BO119"/>
      <c r="BQ119"/>
      <c r="BS119"/>
      <c r="BU119"/>
      <c r="BW119"/>
    </row>
    <row r="120" spans="1:75" s="9" customFormat="1" x14ac:dyDescent="0.25">
      <c r="A120"/>
      <c r="B120"/>
      <c r="C120"/>
      <c r="D120" s="81"/>
      <c r="E120" s="81"/>
      <c r="F120" s="30"/>
      <c r="G120" s="53"/>
      <c r="H120" s="30"/>
      <c r="I120" s="210"/>
      <c r="J120" s="30"/>
      <c r="K120" s="30"/>
      <c r="L120" s="210"/>
      <c r="M120"/>
      <c r="N120" s="41"/>
      <c r="O120" s="30"/>
      <c r="P120" s="241"/>
      <c r="Q120" s="13"/>
      <c r="R120" s="41"/>
      <c r="S120" s="46"/>
      <c r="T120" s="41"/>
      <c r="U120" s="41"/>
      <c r="V120" s="41"/>
      <c r="W120"/>
      <c r="X120" s="13"/>
      <c r="Y120" s="112"/>
      <c r="Z120" s="13"/>
      <c r="AA120" s="147"/>
      <c r="AB120" s="41"/>
      <c r="AC120"/>
      <c r="AD120"/>
      <c r="AE120" s="13"/>
      <c r="AF120" s="13"/>
      <c r="AG120" s="147"/>
      <c r="AH120" s="41"/>
      <c r="AI120" s="46"/>
      <c r="AJ120" s="30"/>
      <c r="AK120" s="41"/>
      <c r="AL120" s="13"/>
      <c r="AM120" s="13"/>
      <c r="AN120" s="41"/>
      <c r="AO120"/>
      <c r="AP120"/>
      <c r="AQ120" s="46"/>
      <c r="AR120" s="13"/>
      <c r="AS120" s="13"/>
      <c r="AT120" s="41"/>
      <c r="AU120" s="13"/>
      <c r="AV120"/>
      <c r="AW120"/>
      <c r="AX120" s="13"/>
      <c r="AY120" s="13"/>
      <c r="AZ120" s="41"/>
      <c r="BA120" s="13"/>
      <c r="BB120" s="13"/>
      <c r="BC120" s="13"/>
      <c r="BD120" s="13"/>
      <c r="BE120"/>
      <c r="BG120"/>
      <c r="BI120"/>
      <c r="BK120"/>
      <c r="BO120"/>
      <c r="BQ120"/>
      <c r="BS120"/>
      <c r="BU120"/>
      <c r="BW120"/>
    </row>
    <row r="121" spans="1:75" s="9" customFormat="1" x14ac:dyDescent="0.25">
      <c r="A121"/>
      <c r="B121"/>
      <c r="C121"/>
      <c r="D121" s="81"/>
      <c r="E121" s="81"/>
      <c r="F121" s="30"/>
      <c r="G121" s="53"/>
      <c r="H121" s="30"/>
      <c r="I121" s="210"/>
      <c r="J121" s="30"/>
      <c r="K121" s="30"/>
      <c r="L121" s="210"/>
      <c r="M121"/>
      <c r="N121" s="41"/>
      <c r="O121" s="30"/>
      <c r="P121" s="241"/>
      <c r="Q121" s="13"/>
      <c r="R121" s="41"/>
      <c r="S121" s="46"/>
      <c r="T121" s="41"/>
      <c r="U121" s="41"/>
      <c r="V121" s="41"/>
      <c r="W121"/>
      <c r="X121" s="13"/>
      <c r="Y121" s="112"/>
      <c r="Z121" s="13"/>
      <c r="AA121" s="147"/>
      <c r="AB121" s="41"/>
      <c r="AC121"/>
      <c r="AD121"/>
      <c r="AE121" s="13"/>
      <c r="AF121" s="13"/>
      <c r="AG121" s="147"/>
      <c r="AH121" s="41"/>
      <c r="AI121" s="46"/>
      <c r="AJ121" s="30"/>
      <c r="AK121" s="41"/>
      <c r="AL121" s="13"/>
      <c r="AM121" s="13"/>
      <c r="AN121" s="41"/>
      <c r="AO121"/>
      <c r="AP121"/>
      <c r="AQ121" s="46"/>
      <c r="AR121" s="13"/>
      <c r="AS121" s="13"/>
      <c r="AT121" s="41"/>
      <c r="AU121" s="13"/>
      <c r="AV121"/>
      <c r="AW121"/>
      <c r="AX121" s="13"/>
      <c r="AY121" s="13"/>
      <c r="AZ121" s="41"/>
      <c r="BA121" s="13"/>
      <c r="BB121" s="13"/>
      <c r="BC121" s="13"/>
      <c r="BD121" s="13"/>
      <c r="BE121"/>
      <c r="BG121"/>
      <c r="BI121"/>
      <c r="BK121"/>
      <c r="BO121"/>
      <c r="BQ121"/>
      <c r="BS121"/>
      <c r="BU121"/>
      <c r="BW121"/>
    </row>
    <row r="122" spans="1:75" s="9" customFormat="1" x14ac:dyDescent="0.25">
      <c r="A122"/>
      <c r="B122"/>
      <c r="C122"/>
      <c r="D122" s="81"/>
      <c r="E122" s="81"/>
      <c r="F122" s="30"/>
      <c r="G122" s="53"/>
      <c r="H122" s="30"/>
      <c r="I122" s="210"/>
      <c r="J122" s="30"/>
      <c r="K122" s="30"/>
      <c r="L122" s="210"/>
      <c r="M122"/>
      <c r="N122" s="41"/>
      <c r="O122" s="30"/>
      <c r="P122" s="241"/>
      <c r="Q122" s="13"/>
      <c r="R122" s="41"/>
      <c r="S122" s="46"/>
      <c r="T122" s="41"/>
      <c r="U122" s="41"/>
      <c r="V122" s="41"/>
      <c r="W122"/>
      <c r="X122" s="13"/>
      <c r="Y122" s="112"/>
      <c r="Z122" s="13"/>
      <c r="AA122" s="147"/>
      <c r="AB122" s="41"/>
      <c r="AC122"/>
      <c r="AD122"/>
      <c r="AE122" s="13"/>
      <c r="AF122" s="13"/>
      <c r="AG122" s="147"/>
      <c r="AH122" s="41"/>
      <c r="AI122" s="46"/>
      <c r="AJ122" s="30"/>
      <c r="AK122" s="41"/>
      <c r="AL122" s="13"/>
      <c r="AM122" s="13"/>
      <c r="AN122" s="41"/>
      <c r="AO122"/>
      <c r="AP122"/>
      <c r="AQ122" s="46"/>
      <c r="AR122" s="13"/>
      <c r="AS122" s="13"/>
      <c r="AT122" s="41"/>
      <c r="AU122" s="13"/>
      <c r="AV122"/>
      <c r="AW122"/>
      <c r="AX122" s="13"/>
      <c r="AY122" s="13"/>
      <c r="AZ122" s="41"/>
      <c r="BA122" s="13"/>
      <c r="BB122" s="13"/>
      <c r="BC122" s="13"/>
      <c r="BD122" s="13"/>
      <c r="BE122"/>
      <c r="BG122"/>
      <c r="BI122"/>
      <c r="BK122"/>
      <c r="BO122"/>
      <c r="BQ122"/>
      <c r="BS122"/>
      <c r="BU122"/>
      <c r="BW122"/>
    </row>
    <row r="123" spans="1:75" s="9" customFormat="1" x14ac:dyDescent="0.25">
      <c r="A123"/>
      <c r="B123"/>
      <c r="C123"/>
      <c r="D123" s="81"/>
      <c r="E123" s="81"/>
      <c r="F123" s="30"/>
      <c r="G123" s="53"/>
      <c r="H123" s="30"/>
      <c r="I123" s="210"/>
      <c r="J123" s="30"/>
      <c r="K123" s="30"/>
      <c r="L123" s="210"/>
      <c r="M123"/>
      <c r="N123" s="41"/>
      <c r="O123" s="30"/>
      <c r="P123" s="241"/>
      <c r="Q123" s="13"/>
      <c r="R123" s="41"/>
      <c r="S123" s="46"/>
      <c r="T123" s="41"/>
      <c r="U123" s="41"/>
      <c r="V123" s="41"/>
      <c r="W123"/>
      <c r="X123" s="13"/>
      <c r="Y123" s="112"/>
      <c r="Z123" s="13"/>
      <c r="AA123" s="147"/>
      <c r="AB123" s="41"/>
      <c r="AC123"/>
      <c r="AD123"/>
      <c r="AE123" s="13"/>
      <c r="AF123" s="13"/>
      <c r="AG123" s="147"/>
      <c r="AH123" s="41"/>
      <c r="AI123" s="46"/>
      <c r="AJ123" s="30"/>
      <c r="AK123" s="41"/>
      <c r="AL123" s="13"/>
      <c r="AM123" s="13"/>
      <c r="AN123" s="41"/>
      <c r="AO123"/>
      <c r="AP123"/>
      <c r="AQ123" s="46"/>
      <c r="AR123" s="13"/>
      <c r="AS123" s="13"/>
      <c r="AT123" s="41"/>
      <c r="AU123" s="13"/>
      <c r="AV123"/>
      <c r="AW123"/>
      <c r="AX123" s="13"/>
      <c r="AY123" s="13"/>
      <c r="AZ123" s="41"/>
      <c r="BA123" s="13"/>
      <c r="BB123" s="13"/>
      <c r="BC123" s="13"/>
      <c r="BD123" s="13"/>
      <c r="BE123"/>
      <c r="BG123"/>
      <c r="BI123"/>
      <c r="BK123"/>
      <c r="BO123"/>
      <c r="BQ123"/>
      <c r="BS123"/>
      <c r="BU123"/>
      <c r="BW123"/>
    </row>
    <row r="124" spans="1:75" s="9" customFormat="1" x14ac:dyDescent="0.25">
      <c r="A124"/>
      <c r="B124"/>
      <c r="C124"/>
      <c r="D124" s="81"/>
      <c r="E124" s="81"/>
      <c r="F124" s="30"/>
      <c r="G124" s="53"/>
      <c r="H124" s="30"/>
      <c r="I124" s="210"/>
      <c r="J124" s="30"/>
      <c r="K124" s="30"/>
      <c r="L124" s="210"/>
      <c r="M124"/>
      <c r="N124" s="41"/>
      <c r="O124" s="30"/>
      <c r="P124" s="241"/>
      <c r="Q124" s="13"/>
      <c r="R124" s="41"/>
      <c r="S124" s="46"/>
      <c r="T124" s="41"/>
      <c r="U124" s="41"/>
      <c r="V124" s="41"/>
      <c r="W124"/>
      <c r="X124" s="13"/>
      <c r="Y124" s="112"/>
      <c r="Z124" s="13"/>
      <c r="AA124" s="147"/>
      <c r="AB124" s="41"/>
      <c r="AC124"/>
      <c r="AD124"/>
      <c r="AE124" s="13"/>
      <c r="AF124" s="13"/>
      <c r="AG124" s="147"/>
      <c r="AH124" s="41"/>
      <c r="AI124" s="46"/>
      <c r="AJ124" s="30"/>
      <c r="AK124" s="41"/>
      <c r="AL124" s="13"/>
      <c r="AM124" s="13"/>
      <c r="AN124" s="41"/>
      <c r="AO124"/>
      <c r="AP124"/>
      <c r="AQ124" s="46"/>
      <c r="AR124" s="13"/>
      <c r="AS124" s="13"/>
      <c r="AT124" s="41"/>
      <c r="AU124" s="13"/>
      <c r="AV124"/>
      <c r="AW124"/>
      <c r="AX124" s="13"/>
      <c r="AY124" s="13"/>
      <c r="AZ124" s="41"/>
      <c r="BA124" s="13"/>
      <c r="BB124" s="13"/>
      <c r="BC124" s="13"/>
      <c r="BD124" s="13"/>
      <c r="BE124"/>
      <c r="BG124"/>
      <c r="BI124"/>
      <c r="BK124"/>
      <c r="BO124"/>
      <c r="BQ124"/>
      <c r="BS124"/>
      <c r="BU124"/>
      <c r="BW124"/>
    </row>
    <row r="125" spans="1:75" s="9" customFormat="1" x14ac:dyDescent="0.25">
      <c r="A125"/>
      <c r="B125"/>
      <c r="C125"/>
      <c r="D125" s="81"/>
      <c r="E125" s="81"/>
      <c r="F125" s="30"/>
      <c r="G125" s="53"/>
      <c r="H125" s="30"/>
      <c r="I125" s="210"/>
      <c r="J125" s="30"/>
      <c r="K125" s="30"/>
      <c r="L125" s="210"/>
      <c r="M125"/>
      <c r="N125" s="41"/>
      <c r="O125" s="30"/>
      <c r="P125" s="241"/>
      <c r="Q125" s="13"/>
      <c r="R125" s="41"/>
      <c r="S125" s="46"/>
      <c r="T125" s="41"/>
      <c r="U125" s="41"/>
      <c r="V125" s="41"/>
      <c r="W125"/>
      <c r="X125" s="13"/>
      <c r="Y125" s="112"/>
      <c r="Z125" s="13"/>
      <c r="AA125" s="147"/>
      <c r="AB125" s="41"/>
      <c r="AC125"/>
      <c r="AD125"/>
      <c r="AE125" s="13"/>
      <c r="AF125" s="13"/>
      <c r="AG125" s="147"/>
      <c r="AH125" s="41"/>
      <c r="AI125" s="46"/>
      <c r="AJ125" s="30"/>
      <c r="AK125" s="41"/>
      <c r="AL125" s="13"/>
      <c r="AM125" s="13"/>
      <c r="AN125" s="41"/>
      <c r="AO125"/>
      <c r="AP125"/>
      <c r="AQ125" s="46"/>
      <c r="AR125" s="13"/>
      <c r="AS125" s="13"/>
      <c r="AT125" s="41"/>
      <c r="AU125" s="13"/>
      <c r="AV125"/>
      <c r="AW125"/>
      <c r="AX125" s="13"/>
      <c r="AY125" s="13"/>
      <c r="AZ125" s="41"/>
      <c r="BA125" s="13"/>
      <c r="BB125" s="13"/>
      <c r="BC125" s="13"/>
      <c r="BD125" s="13"/>
      <c r="BE125"/>
      <c r="BG125"/>
      <c r="BI125"/>
      <c r="BK125"/>
      <c r="BO125"/>
      <c r="BQ125"/>
      <c r="BS125"/>
      <c r="BU125"/>
      <c r="BW125"/>
    </row>
    <row r="126" spans="1:75" s="9" customFormat="1" x14ac:dyDescent="0.25">
      <c r="A126"/>
      <c r="B126"/>
      <c r="C126"/>
      <c r="D126" s="81"/>
      <c r="E126" s="81"/>
      <c r="F126" s="30"/>
      <c r="G126" s="53"/>
      <c r="H126" s="30"/>
      <c r="I126" s="210"/>
      <c r="J126" s="30"/>
      <c r="K126" s="30"/>
      <c r="L126" s="210"/>
      <c r="M126"/>
      <c r="N126" s="41"/>
      <c r="O126" s="30"/>
      <c r="P126" s="241"/>
      <c r="Q126" s="13"/>
      <c r="R126" s="41"/>
      <c r="S126" s="46"/>
      <c r="T126" s="41"/>
      <c r="U126" s="41"/>
      <c r="V126" s="41"/>
      <c r="W126"/>
      <c r="X126" s="13"/>
      <c r="Y126" s="112"/>
      <c r="Z126" s="13"/>
      <c r="AA126" s="147"/>
      <c r="AB126" s="41"/>
      <c r="AC126"/>
      <c r="AD126"/>
      <c r="AE126" s="13"/>
      <c r="AF126" s="13"/>
      <c r="AG126" s="147"/>
      <c r="AH126" s="41"/>
      <c r="AI126" s="46"/>
      <c r="AJ126" s="30"/>
      <c r="AK126" s="41"/>
      <c r="AL126" s="13"/>
      <c r="AM126" s="13"/>
      <c r="AN126" s="41"/>
      <c r="AO126"/>
      <c r="AP126"/>
      <c r="AQ126" s="46"/>
      <c r="AR126" s="13"/>
      <c r="AS126" s="13"/>
      <c r="AT126" s="41"/>
      <c r="AU126" s="13"/>
      <c r="AV126"/>
      <c r="AW126"/>
      <c r="AX126" s="13"/>
      <c r="AY126" s="13"/>
      <c r="AZ126" s="41"/>
      <c r="BA126" s="13"/>
      <c r="BB126" s="13"/>
      <c r="BC126" s="13"/>
      <c r="BD126" s="13"/>
      <c r="BE126"/>
      <c r="BG126"/>
      <c r="BI126"/>
      <c r="BK126"/>
      <c r="BO126"/>
      <c r="BQ126"/>
      <c r="BS126"/>
      <c r="BU126"/>
      <c r="BW126"/>
    </row>
    <row r="127" spans="1:75" s="9" customFormat="1" x14ac:dyDescent="0.25">
      <c r="A127"/>
      <c r="B127"/>
      <c r="C127"/>
      <c r="D127" s="81"/>
      <c r="E127" s="81"/>
      <c r="F127" s="30"/>
      <c r="G127" s="53"/>
      <c r="H127" s="30"/>
      <c r="I127" s="210"/>
      <c r="J127" s="30"/>
      <c r="K127" s="30"/>
      <c r="L127" s="210"/>
      <c r="M127"/>
      <c r="N127" s="41"/>
      <c r="O127" s="30"/>
      <c r="P127" s="241"/>
      <c r="Q127" s="13"/>
      <c r="R127" s="41"/>
      <c r="S127" s="46"/>
      <c r="T127" s="41"/>
      <c r="U127" s="41"/>
      <c r="V127" s="41"/>
      <c r="W127"/>
      <c r="X127" s="13"/>
      <c r="Y127" s="112"/>
      <c r="Z127" s="13"/>
      <c r="AA127" s="147"/>
      <c r="AB127" s="41"/>
      <c r="AC127"/>
      <c r="AD127"/>
      <c r="AE127" s="13"/>
      <c r="AF127" s="13"/>
      <c r="AG127" s="147"/>
      <c r="AH127" s="41"/>
      <c r="AI127" s="46"/>
      <c r="AJ127" s="30"/>
      <c r="AK127" s="41"/>
      <c r="AL127" s="13"/>
      <c r="AM127" s="13"/>
      <c r="AN127" s="41"/>
      <c r="AO127"/>
      <c r="AP127"/>
      <c r="AQ127" s="46"/>
      <c r="AR127" s="13"/>
      <c r="AS127" s="13"/>
      <c r="AT127" s="41"/>
      <c r="AU127" s="13"/>
      <c r="AV127"/>
      <c r="AW127"/>
      <c r="AX127" s="13"/>
      <c r="AY127" s="13"/>
      <c r="AZ127" s="41"/>
      <c r="BA127" s="13"/>
      <c r="BB127" s="13"/>
      <c r="BC127" s="13"/>
      <c r="BD127" s="13"/>
      <c r="BE127"/>
      <c r="BG127"/>
      <c r="BI127"/>
      <c r="BK127"/>
      <c r="BO127"/>
      <c r="BQ127"/>
      <c r="BS127"/>
      <c r="BU127"/>
      <c r="BW127"/>
    </row>
    <row r="128" spans="1:75" s="9" customFormat="1" x14ac:dyDescent="0.25">
      <c r="A128"/>
      <c r="B128"/>
      <c r="C128"/>
      <c r="D128" s="81"/>
      <c r="E128" s="81"/>
      <c r="F128" s="30"/>
      <c r="G128" s="53"/>
      <c r="H128" s="30"/>
      <c r="I128" s="210"/>
      <c r="J128" s="30"/>
      <c r="K128" s="30"/>
      <c r="L128" s="210"/>
      <c r="M128"/>
      <c r="N128" s="41"/>
      <c r="O128" s="30"/>
      <c r="P128" s="241"/>
      <c r="Q128" s="13"/>
      <c r="R128" s="41"/>
      <c r="S128" s="46"/>
      <c r="T128" s="41"/>
      <c r="U128" s="41"/>
      <c r="V128" s="41"/>
      <c r="W128"/>
      <c r="X128" s="13"/>
      <c r="Y128" s="112"/>
      <c r="Z128" s="13"/>
      <c r="AA128" s="147"/>
      <c r="AB128" s="41"/>
      <c r="AC128"/>
      <c r="AD128"/>
      <c r="AE128" s="13"/>
      <c r="AF128" s="13"/>
      <c r="AG128" s="147"/>
      <c r="AH128" s="41"/>
      <c r="AI128" s="46"/>
      <c r="AJ128" s="30"/>
      <c r="AK128" s="41"/>
      <c r="AL128" s="13"/>
      <c r="AM128" s="13"/>
      <c r="AN128" s="41"/>
      <c r="AO128"/>
      <c r="AP128"/>
      <c r="AQ128" s="46"/>
      <c r="AR128" s="13"/>
      <c r="AS128" s="13"/>
      <c r="AT128" s="41"/>
      <c r="AU128" s="13"/>
      <c r="AV128"/>
      <c r="AW128"/>
      <c r="AX128" s="13"/>
      <c r="AY128" s="13"/>
      <c r="AZ128" s="41"/>
      <c r="BA128" s="13"/>
      <c r="BB128" s="13"/>
      <c r="BC128" s="13"/>
      <c r="BD128" s="13"/>
      <c r="BE128"/>
      <c r="BG128"/>
      <c r="BI128"/>
      <c r="BK128"/>
      <c r="BO128"/>
      <c r="BW128"/>
    </row>
    <row r="129" spans="1:76" s="9" customFormat="1" x14ac:dyDescent="0.25">
      <c r="A129"/>
      <c r="B129"/>
      <c r="C129"/>
      <c r="D129" s="81"/>
      <c r="E129" s="81"/>
      <c r="F129" s="30"/>
      <c r="G129" s="53"/>
      <c r="H129" s="30"/>
      <c r="I129" s="210"/>
      <c r="J129" s="30"/>
      <c r="K129" s="30"/>
      <c r="L129" s="210"/>
      <c r="M129"/>
      <c r="N129" s="41"/>
      <c r="O129" s="30"/>
      <c r="P129" s="241"/>
      <c r="Q129" s="13"/>
      <c r="R129" s="41"/>
      <c r="S129" s="46"/>
      <c r="T129" s="41"/>
      <c r="U129" s="41"/>
      <c r="V129" s="41"/>
      <c r="W129"/>
      <c r="X129" s="13"/>
      <c r="Y129" s="112"/>
      <c r="Z129" s="13"/>
      <c r="AA129" s="147"/>
      <c r="AB129" s="41"/>
      <c r="AC129"/>
      <c r="AD129"/>
      <c r="AE129" s="13"/>
      <c r="AF129" s="13"/>
      <c r="AG129" s="147"/>
      <c r="AH129" s="41"/>
      <c r="AI129" s="46"/>
      <c r="AJ129" s="30"/>
      <c r="AK129" s="41"/>
      <c r="AL129" s="13"/>
      <c r="AM129" s="13"/>
      <c r="AN129" s="41"/>
      <c r="AO129"/>
      <c r="AP129"/>
      <c r="AQ129" s="46"/>
      <c r="AR129" s="13"/>
      <c r="AS129" s="13"/>
      <c r="AT129" s="41"/>
      <c r="AU129" s="13"/>
      <c r="AV129"/>
      <c r="AW129"/>
      <c r="AX129" s="13"/>
      <c r="AY129" s="13"/>
      <c r="AZ129" s="41"/>
      <c r="BA129" s="13"/>
      <c r="BB129" s="13"/>
      <c r="BC129" s="13"/>
      <c r="BD129" s="13"/>
      <c r="BE129"/>
      <c r="BG129"/>
      <c r="BI129"/>
      <c r="BK129"/>
      <c r="BO129"/>
      <c r="BW129"/>
    </row>
    <row r="130" spans="1:76" s="9" customFormat="1" x14ac:dyDescent="0.25">
      <c r="A130"/>
      <c r="B130"/>
      <c r="C130"/>
      <c r="D130" s="81"/>
      <c r="E130" s="81"/>
      <c r="F130" s="30"/>
      <c r="G130" s="53"/>
      <c r="H130" s="30"/>
      <c r="I130" s="210"/>
      <c r="J130" s="30"/>
      <c r="K130" s="30"/>
      <c r="L130" s="210"/>
      <c r="M130"/>
      <c r="N130" s="41"/>
      <c r="O130" s="30"/>
      <c r="P130" s="241"/>
      <c r="Q130" s="13"/>
      <c r="R130" s="41"/>
      <c r="S130" s="46"/>
      <c r="T130" s="41"/>
      <c r="U130" s="41"/>
      <c r="V130" s="41"/>
      <c r="W130"/>
      <c r="X130" s="13"/>
      <c r="Y130" s="112"/>
      <c r="Z130" s="13"/>
      <c r="AA130" s="147"/>
      <c r="AB130" s="41"/>
      <c r="AC130"/>
      <c r="AD130"/>
      <c r="AE130" s="13"/>
      <c r="AF130" s="13"/>
      <c r="AG130" s="147"/>
      <c r="AH130" s="41"/>
      <c r="AI130" s="46"/>
      <c r="AJ130" s="30"/>
      <c r="AK130" s="41"/>
      <c r="AL130" s="13"/>
      <c r="AM130" s="13"/>
      <c r="AN130" s="41"/>
      <c r="AO130"/>
      <c r="AP130"/>
      <c r="AQ130" s="46"/>
      <c r="AR130" s="13"/>
      <c r="AS130" s="13"/>
      <c r="AT130" s="41"/>
      <c r="AU130" s="13"/>
      <c r="AV130"/>
      <c r="AW130"/>
      <c r="AX130" s="13"/>
      <c r="AY130" s="13"/>
      <c r="AZ130" s="41"/>
      <c r="BA130" s="13"/>
      <c r="BB130" s="13"/>
      <c r="BC130" s="13"/>
      <c r="BD130" s="13"/>
      <c r="BE130"/>
      <c r="BG130"/>
      <c r="BI130"/>
      <c r="BK130"/>
      <c r="BO130"/>
      <c r="BW130"/>
    </row>
    <row r="131" spans="1:76" s="9" customFormat="1" x14ac:dyDescent="0.25">
      <c r="A131"/>
      <c r="B131"/>
      <c r="C131"/>
      <c r="D131" s="81"/>
      <c r="E131" s="81"/>
      <c r="F131" s="30"/>
      <c r="G131" s="53"/>
      <c r="H131" s="30"/>
      <c r="I131" s="210"/>
      <c r="J131" s="30"/>
      <c r="K131" s="30"/>
      <c r="L131" s="210"/>
      <c r="M131"/>
      <c r="N131" s="41"/>
      <c r="O131" s="30"/>
      <c r="P131" s="241"/>
      <c r="Q131" s="13"/>
      <c r="R131" s="41"/>
      <c r="S131" s="46"/>
      <c r="T131" s="41"/>
      <c r="U131" s="41"/>
      <c r="V131" s="41"/>
      <c r="W131"/>
      <c r="X131" s="13"/>
      <c r="Y131" s="112"/>
      <c r="Z131" s="13"/>
      <c r="AA131" s="147"/>
      <c r="AB131" s="41"/>
      <c r="AC131"/>
      <c r="AD131"/>
      <c r="AE131" s="13"/>
      <c r="AF131" s="13"/>
      <c r="AG131" s="147"/>
      <c r="AH131" s="41"/>
      <c r="AI131" s="46"/>
      <c r="AJ131" s="30"/>
      <c r="AK131" s="41"/>
      <c r="AL131" s="13"/>
      <c r="AM131" s="13"/>
      <c r="AN131" s="41"/>
      <c r="AO131"/>
      <c r="AP131"/>
      <c r="AQ131" s="46"/>
      <c r="AR131" s="13"/>
      <c r="AS131" s="13"/>
      <c r="AT131" s="41"/>
      <c r="AU131" s="13"/>
      <c r="AV131"/>
      <c r="AW131"/>
      <c r="AX131" s="13"/>
      <c r="AY131" s="13"/>
      <c r="AZ131" s="41"/>
      <c r="BA131" s="13"/>
      <c r="BB131" s="13"/>
      <c r="BC131" s="13"/>
      <c r="BD131" s="13"/>
      <c r="BE131"/>
      <c r="BG131"/>
      <c r="BI131"/>
      <c r="BK131"/>
      <c r="BO131"/>
      <c r="BW131"/>
    </row>
    <row r="132" spans="1:76" s="9" customFormat="1" x14ac:dyDescent="0.25">
      <c r="A132"/>
      <c r="B132"/>
      <c r="C132"/>
      <c r="D132" s="81"/>
      <c r="E132" s="81"/>
      <c r="F132" s="30"/>
      <c r="G132" s="53"/>
      <c r="H132" s="30"/>
      <c r="I132" s="210"/>
      <c r="J132" s="30"/>
      <c r="K132" s="30"/>
      <c r="L132" s="210"/>
      <c r="M132"/>
      <c r="N132" s="41"/>
      <c r="O132" s="30"/>
      <c r="P132" s="241"/>
      <c r="Q132" s="13"/>
      <c r="R132" s="41"/>
      <c r="S132" s="46"/>
      <c r="T132" s="41"/>
      <c r="U132" s="41"/>
      <c r="V132" s="41"/>
      <c r="W132"/>
      <c r="X132" s="13"/>
      <c r="Y132" s="112"/>
      <c r="Z132" s="13"/>
      <c r="AA132" s="147"/>
      <c r="AB132" s="41"/>
      <c r="AC132"/>
      <c r="AD132"/>
      <c r="AE132" s="13"/>
      <c r="AF132" s="13"/>
      <c r="AG132" s="147"/>
      <c r="AH132" s="41"/>
      <c r="AI132" s="46"/>
      <c r="AJ132" s="30"/>
      <c r="AK132" s="41"/>
      <c r="AL132" s="13"/>
      <c r="AM132" s="13"/>
      <c r="AN132" s="41"/>
      <c r="AO132"/>
      <c r="AP132"/>
      <c r="AQ132" s="46"/>
      <c r="AR132" s="13"/>
      <c r="AS132" s="13"/>
      <c r="AT132" s="41"/>
      <c r="AU132" s="13"/>
      <c r="AV132"/>
      <c r="AW132"/>
      <c r="AX132" s="13"/>
      <c r="AY132" s="13"/>
      <c r="AZ132" s="41"/>
      <c r="BA132" s="13"/>
      <c r="BB132" s="13"/>
      <c r="BC132" s="13"/>
      <c r="BD132" s="13"/>
      <c r="BE132"/>
      <c r="BG132"/>
      <c r="BI132"/>
      <c r="BK132"/>
      <c r="BO132"/>
      <c r="BW132"/>
    </row>
    <row r="133" spans="1:76" s="9" customFormat="1" x14ac:dyDescent="0.25">
      <c r="A133"/>
      <c r="B133"/>
      <c r="C133"/>
      <c r="D133"/>
      <c r="E133"/>
      <c r="F133" s="30"/>
      <c r="G133" s="53"/>
      <c r="H133" s="30"/>
      <c r="I133" s="210"/>
      <c r="J133" s="30"/>
      <c r="K133" s="30"/>
      <c r="L133" s="210"/>
      <c r="M133"/>
      <c r="N133" s="41"/>
      <c r="O133" s="30"/>
      <c r="P133" s="241"/>
      <c r="Q133" s="13"/>
      <c r="R133" s="41"/>
      <c r="S133" s="46"/>
      <c r="T133" s="41"/>
      <c r="U133" s="41"/>
      <c r="V133" s="41"/>
      <c r="W133"/>
      <c r="X133" s="13"/>
      <c r="Y133" s="112"/>
      <c r="Z133" s="13"/>
      <c r="AA133" s="147"/>
      <c r="AB133" s="41"/>
      <c r="AC133"/>
      <c r="AD133"/>
      <c r="AE133" s="13"/>
      <c r="AF133" s="13"/>
      <c r="AG133" s="147"/>
      <c r="AH133" s="41"/>
      <c r="AI133" s="46"/>
      <c r="AJ133" s="30"/>
      <c r="AK133" s="41"/>
      <c r="AL133" s="13"/>
      <c r="AM133" s="13"/>
      <c r="AN133" s="41"/>
      <c r="AO133"/>
      <c r="AP133"/>
      <c r="AQ133" s="46"/>
      <c r="AR133" s="13"/>
      <c r="AS133" s="13"/>
      <c r="AT133" s="41"/>
      <c r="AU133" s="13"/>
      <c r="AV133"/>
      <c r="AW133"/>
      <c r="AX133" s="13"/>
      <c r="AY133" s="13"/>
      <c r="AZ133" s="41"/>
      <c r="BA133" s="13"/>
      <c r="BB133" s="13"/>
      <c r="BC133" s="13"/>
      <c r="BD133" s="13"/>
      <c r="BE133"/>
      <c r="BG133"/>
      <c r="BI133"/>
      <c r="BK133"/>
      <c r="BO133"/>
      <c r="BW133"/>
    </row>
    <row r="134" spans="1:76" s="9" customFormat="1" x14ac:dyDescent="0.25">
      <c r="A134"/>
      <c r="B134"/>
      <c r="C134"/>
      <c r="D134"/>
      <c r="E134"/>
      <c r="F134" s="30"/>
      <c r="G134" s="53"/>
      <c r="H134" s="30"/>
      <c r="I134" s="210"/>
      <c r="J134" s="30"/>
      <c r="K134" s="30"/>
      <c r="L134" s="210"/>
      <c r="M134"/>
      <c r="N134" s="41"/>
      <c r="O134" s="30"/>
      <c r="P134" s="241"/>
      <c r="Q134" s="13"/>
      <c r="R134" s="41"/>
      <c r="S134" s="46"/>
      <c r="T134" s="41"/>
      <c r="U134" s="41"/>
      <c r="V134" s="41"/>
      <c r="W134"/>
      <c r="X134" s="13"/>
      <c r="Y134" s="112"/>
      <c r="Z134" s="13"/>
      <c r="AA134" s="147"/>
      <c r="AB134" s="41"/>
      <c r="AC134"/>
      <c r="AD134"/>
      <c r="AE134" s="13"/>
      <c r="AF134" s="13"/>
      <c r="AG134" s="147"/>
      <c r="AH134" s="41"/>
      <c r="AI134" s="46"/>
      <c r="AJ134" s="30"/>
      <c r="AK134" s="41"/>
      <c r="AL134" s="13"/>
      <c r="AM134" s="13"/>
      <c r="AN134" s="41"/>
      <c r="AO134"/>
      <c r="AP134"/>
      <c r="AQ134" s="46"/>
      <c r="AR134" s="13"/>
      <c r="AS134" s="13"/>
      <c r="AT134" s="41"/>
      <c r="AU134" s="13"/>
      <c r="AV134"/>
      <c r="AW134"/>
      <c r="AX134" s="13"/>
      <c r="AY134" s="13"/>
      <c r="AZ134" s="41"/>
      <c r="BA134" s="13"/>
      <c r="BB134" s="13"/>
      <c r="BC134" s="13"/>
      <c r="BD134" s="13"/>
      <c r="BE134"/>
      <c r="BG134"/>
      <c r="BI134"/>
      <c r="BK134"/>
      <c r="BO134"/>
      <c r="BW134"/>
    </row>
    <row r="135" spans="1:76" s="9" customFormat="1" x14ac:dyDescent="0.25">
      <c r="A135"/>
      <c r="B135"/>
      <c r="C135"/>
      <c r="D135"/>
      <c r="E135"/>
      <c r="F135" s="30"/>
      <c r="G135" s="53"/>
      <c r="H135" s="30"/>
      <c r="I135" s="210"/>
      <c r="J135" s="30"/>
      <c r="K135" s="30"/>
      <c r="L135" s="210"/>
      <c r="M135"/>
      <c r="N135" s="41"/>
      <c r="O135" s="30"/>
      <c r="P135" s="241"/>
      <c r="Q135" s="13"/>
      <c r="R135" s="41"/>
      <c r="S135" s="46"/>
      <c r="T135" s="41"/>
      <c r="U135" s="41"/>
      <c r="V135" s="41"/>
      <c r="W135"/>
      <c r="X135" s="13"/>
      <c r="Y135" s="112"/>
      <c r="Z135" s="13"/>
      <c r="AA135" s="147"/>
      <c r="AB135" s="41"/>
      <c r="AC135"/>
      <c r="AD135"/>
      <c r="AE135" s="13"/>
      <c r="AF135" s="13"/>
      <c r="AG135" s="147"/>
      <c r="AH135" s="41"/>
      <c r="AI135" s="46"/>
      <c r="AJ135" s="30"/>
      <c r="AK135" s="41"/>
      <c r="AL135" s="13"/>
      <c r="AM135" s="13"/>
      <c r="AN135" s="41"/>
      <c r="AO135"/>
      <c r="AP135"/>
      <c r="AQ135" s="46"/>
      <c r="AR135" s="13"/>
      <c r="AS135" s="13"/>
      <c r="AT135" s="41"/>
      <c r="AU135" s="13"/>
      <c r="AV135"/>
      <c r="AW135"/>
      <c r="AX135" s="13"/>
      <c r="AY135" s="13"/>
      <c r="AZ135" s="41"/>
      <c r="BA135" s="13"/>
      <c r="BB135" s="13"/>
      <c r="BC135" s="13"/>
      <c r="BD135" s="13"/>
      <c r="BE135"/>
      <c r="BG135"/>
      <c r="BI135"/>
      <c r="BK135"/>
      <c r="BO135"/>
      <c r="BW135"/>
    </row>
    <row r="136" spans="1:76" s="9" customFormat="1" x14ac:dyDescent="0.25">
      <c r="A136"/>
      <c r="B136"/>
      <c r="C136"/>
      <c r="D136"/>
      <c r="E136"/>
      <c r="F136" s="30"/>
      <c r="G136" s="53"/>
      <c r="H136" s="30"/>
      <c r="I136" s="210"/>
      <c r="J136" s="30"/>
      <c r="K136" s="30"/>
      <c r="L136" s="210"/>
      <c r="M136"/>
      <c r="N136" s="41"/>
      <c r="O136" s="30"/>
      <c r="P136" s="241"/>
      <c r="Q136" s="13"/>
      <c r="R136" s="41"/>
      <c r="S136" s="46"/>
      <c r="T136" s="41"/>
      <c r="U136" s="41"/>
      <c r="V136" s="41"/>
      <c r="W136"/>
      <c r="X136" s="13"/>
      <c r="Y136" s="112"/>
      <c r="Z136" s="13"/>
      <c r="AA136" s="147"/>
      <c r="AB136" s="41"/>
      <c r="AC136"/>
      <c r="AD136"/>
      <c r="AE136" s="13"/>
      <c r="AF136" s="13"/>
      <c r="AG136" s="147"/>
      <c r="AH136" s="41"/>
      <c r="AI136" s="46"/>
      <c r="AJ136" s="30"/>
      <c r="AK136" s="41"/>
      <c r="AL136" s="13"/>
      <c r="AM136" s="13"/>
      <c r="AN136" s="41"/>
      <c r="AO136"/>
      <c r="AP136"/>
      <c r="AQ136" s="46"/>
      <c r="AR136" s="13"/>
      <c r="AS136" s="13"/>
      <c r="AT136" s="41"/>
      <c r="AU136" s="13"/>
      <c r="AV136"/>
      <c r="AW136"/>
      <c r="AX136" s="13"/>
      <c r="AY136" s="13"/>
      <c r="AZ136" s="41"/>
      <c r="BA136" s="13"/>
      <c r="BB136" s="13"/>
      <c r="BC136" s="13"/>
      <c r="BD136" s="13"/>
      <c r="BE136"/>
      <c r="BG136"/>
      <c r="BI136"/>
      <c r="BK136"/>
      <c r="BO136"/>
      <c r="BW136"/>
    </row>
    <row r="137" spans="1:76" s="9" customFormat="1" x14ac:dyDescent="0.25">
      <c r="A137"/>
      <c r="B137"/>
      <c r="C137"/>
      <c r="D137"/>
      <c r="E137"/>
      <c r="F137" s="30"/>
      <c r="G137" s="53"/>
      <c r="H137" s="30"/>
      <c r="I137" s="210"/>
      <c r="J137" s="30"/>
      <c r="K137" s="30"/>
      <c r="L137" s="210"/>
      <c r="M137"/>
      <c r="N137" s="41"/>
      <c r="O137" s="30"/>
      <c r="P137" s="241"/>
      <c r="Q137" s="13"/>
      <c r="R137" s="41"/>
      <c r="S137" s="46"/>
      <c r="T137" s="41"/>
      <c r="U137" s="41"/>
      <c r="V137" s="41"/>
      <c r="W137"/>
      <c r="X137" s="13"/>
      <c r="Y137" s="112"/>
      <c r="Z137" s="13"/>
      <c r="AA137" s="147"/>
      <c r="AB137" s="41"/>
      <c r="AC137"/>
      <c r="AD137"/>
      <c r="AE137" s="13"/>
      <c r="AF137" s="13"/>
      <c r="AG137" s="147"/>
      <c r="AH137" s="41"/>
      <c r="AI137" s="46"/>
      <c r="AJ137" s="30"/>
      <c r="AK137" s="41"/>
      <c r="AL137" s="13"/>
      <c r="AM137" s="13"/>
      <c r="AN137" s="41"/>
      <c r="AO137"/>
      <c r="AP137"/>
      <c r="AQ137" s="46"/>
      <c r="AR137" s="13"/>
      <c r="AS137" s="13"/>
      <c r="AT137" s="41"/>
      <c r="AU137" s="13"/>
      <c r="AV137"/>
      <c r="AW137"/>
      <c r="AX137" s="13"/>
      <c r="AY137" s="13"/>
      <c r="AZ137" s="41"/>
      <c r="BA137" s="13"/>
      <c r="BB137" s="13"/>
      <c r="BC137" s="13"/>
      <c r="BD137" s="13"/>
      <c r="BE137"/>
      <c r="BG137"/>
      <c r="BI137"/>
      <c r="BK137"/>
      <c r="BO137"/>
      <c r="BW137"/>
    </row>
    <row r="138" spans="1:76" s="9" customFormat="1" x14ac:dyDescent="0.25">
      <c r="A138"/>
      <c r="B138"/>
      <c r="C138"/>
      <c r="D138"/>
      <c r="E138"/>
      <c r="F138" s="30"/>
      <c r="G138" s="53"/>
      <c r="H138" s="30"/>
      <c r="I138" s="210"/>
      <c r="J138" s="30"/>
      <c r="K138" s="30"/>
      <c r="L138" s="210"/>
      <c r="M138"/>
      <c r="N138" s="41"/>
      <c r="O138" s="30"/>
      <c r="P138" s="241"/>
      <c r="Q138" s="13"/>
      <c r="R138" s="41"/>
      <c r="S138" s="46"/>
      <c r="T138" s="41"/>
      <c r="U138" s="41"/>
      <c r="V138" s="41"/>
      <c r="W138"/>
      <c r="X138" s="13"/>
      <c r="Y138" s="112"/>
      <c r="Z138" s="13"/>
      <c r="AA138" s="147"/>
      <c r="AB138" s="41"/>
      <c r="AC138"/>
      <c r="AD138"/>
      <c r="AE138" s="13"/>
      <c r="AF138" s="13"/>
      <c r="AG138" s="147"/>
      <c r="AH138" s="41"/>
      <c r="AI138" s="46"/>
      <c r="AJ138" s="30"/>
      <c r="AK138" s="41"/>
      <c r="AL138" s="13"/>
      <c r="AM138" s="13"/>
      <c r="AN138" s="41"/>
      <c r="AO138"/>
      <c r="AP138"/>
      <c r="AQ138" s="46"/>
      <c r="AR138" s="13"/>
      <c r="AS138" s="13"/>
      <c r="AT138" s="41"/>
      <c r="AU138" s="13"/>
      <c r="AV138"/>
      <c r="AW138"/>
      <c r="AX138" s="13"/>
      <c r="AY138" s="13"/>
      <c r="AZ138" s="41"/>
      <c r="BA138" s="13"/>
      <c r="BB138" s="13"/>
      <c r="BC138" s="13"/>
      <c r="BD138" s="13"/>
      <c r="BE138"/>
      <c r="BG138"/>
      <c r="BI138"/>
      <c r="BK138"/>
      <c r="BO138"/>
      <c r="BW138"/>
    </row>
    <row r="139" spans="1:76" s="9" customFormat="1" x14ac:dyDescent="0.25">
      <c r="A139"/>
      <c r="B139"/>
      <c r="C139"/>
      <c r="D139"/>
      <c r="E139"/>
      <c r="F139" s="30"/>
      <c r="G139" s="53"/>
      <c r="H139" s="30"/>
      <c r="I139" s="210"/>
      <c r="J139" s="30"/>
      <c r="K139" s="30"/>
      <c r="L139" s="210"/>
      <c r="M139"/>
      <c r="N139" s="41"/>
      <c r="O139" s="30"/>
      <c r="P139" s="241"/>
      <c r="Q139" s="13"/>
      <c r="R139" s="41"/>
      <c r="S139" s="46"/>
      <c r="T139" s="41"/>
      <c r="U139" s="41"/>
      <c r="V139" s="41"/>
      <c r="W139"/>
      <c r="X139" s="13"/>
      <c r="Y139" s="112"/>
      <c r="Z139" s="13"/>
      <c r="AA139" s="147"/>
      <c r="AB139" s="41"/>
      <c r="AC139"/>
      <c r="AD139"/>
      <c r="AE139" s="13"/>
      <c r="AF139" s="13"/>
      <c r="AG139" s="147"/>
      <c r="AH139" s="41"/>
      <c r="AI139" s="46"/>
      <c r="AJ139" s="30"/>
      <c r="AK139" s="41"/>
      <c r="AL139" s="13"/>
      <c r="AM139" s="13"/>
      <c r="AN139" s="41"/>
      <c r="AO139"/>
      <c r="AP139"/>
      <c r="AQ139" s="46"/>
      <c r="AR139" s="13"/>
      <c r="AS139" s="13"/>
      <c r="AT139" s="41"/>
      <c r="AU139" s="13"/>
      <c r="AV139"/>
      <c r="AW139"/>
      <c r="AX139" s="13"/>
      <c r="AY139" s="13"/>
      <c r="AZ139" s="41"/>
      <c r="BA139" s="13"/>
      <c r="BB139" s="13"/>
      <c r="BC139" s="13"/>
      <c r="BD139" s="13"/>
      <c r="BE139"/>
      <c r="BG139"/>
      <c r="BI139"/>
      <c r="BK139"/>
      <c r="BO139"/>
      <c r="BW139"/>
    </row>
    <row r="140" spans="1:76" s="9" customFormat="1" x14ac:dyDescent="0.25">
      <c r="A140"/>
      <c r="B140"/>
      <c r="C140"/>
      <c r="D140"/>
      <c r="E140"/>
      <c r="F140" s="30"/>
      <c r="G140" s="53"/>
      <c r="H140" s="30"/>
      <c r="I140" s="210"/>
      <c r="J140" s="30"/>
      <c r="K140" s="30"/>
      <c r="L140" s="210"/>
      <c r="M140"/>
      <c r="N140" s="41"/>
      <c r="O140" s="30"/>
      <c r="P140" s="241"/>
      <c r="Q140" s="13"/>
      <c r="R140" s="41"/>
      <c r="S140" s="46"/>
      <c r="T140" s="41"/>
      <c r="U140" s="41"/>
      <c r="V140" s="41"/>
      <c r="W140"/>
      <c r="X140" s="13"/>
      <c r="Y140" s="112"/>
      <c r="Z140" s="13"/>
      <c r="AA140" s="147"/>
      <c r="AB140" s="41"/>
      <c r="AC140"/>
      <c r="AD140"/>
      <c r="AE140" s="13"/>
      <c r="AF140" s="13"/>
      <c r="AG140" s="147"/>
      <c r="AH140" s="41"/>
      <c r="AI140" s="46"/>
      <c r="AJ140" s="30"/>
      <c r="AK140" s="41"/>
      <c r="AL140" s="13"/>
      <c r="AM140" s="13"/>
      <c r="AN140" s="41"/>
      <c r="AO140"/>
      <c r="AP140"/>
      <c r="AQ140" s="46"/>
      <c r="AR140" s="13"/>
      <c r="AS140" s="13"/>
      <c r="AT140" s="41"/>
      <c r="AU140" s="13"/>
      <c r="AV140"/>
      <c r="AW140"/>
      <c r="AX140" s="13"/>
      <c r="AY140" s="13"/>
      <c r="AZ140" s="41"/>
      <c r="BA140" s="13"/>
      <c r="BB140" s="13"/>
      <c r="BC140" s="13"/>
      <c r="BD140" s="13"/>
      <c r="BE140"/>
      <c r="BG140"/>
      <c r="BI140"/>
      <c r="BK140"/>
      <c r="BO140"/>
      <c r="BW140"/>
    </row>
    <row r="141" spans="1:76" s="9" customFormat="1" x14ac:dyDescent="0.25">
      <c r="A141"/>
      <c r="B141"/>
      <c r="C141"/>
      <c r="D141"/>
      <c r="E141"/>
      <c r="F141" s="30"/>
      <c r="G141" s="53"/>
      <c r="H141" s="30"/>
      <c r="I141" s="210"/>
      <c r="J141" s="30"/>
      <c r="K141" s="30"/>
      <c r="L141" s="210"/>
      <c r="M141"/>
      <c r="N141" s="41"/>
      <c r="O141" s="30"/>
      <c r="P141" s="241"/>
      <c r="Q141" s="13"/>
      <c r="R141" s="41"/>
      <c r="S141" s="46"/>
      <c r="T141" s="41"/>
      <c r="U141" s="41"/>
      <c r="V141" s="41"/>
      <c r="W141"/>
      <c r="X141" s="13"/>
      <c r="Y141" s="112"/>
      <c r="Z141" s="13"/>
      <c r="AA141" s="147"/>
      <c r="AB141" s="41"/>
      <c r="AC141"/>
      <c r="AD141"/>
      <c r="AE141" s="13"/>
      <c r="AF141" s="13"/>
      <c r="AG141" s="147"/>
      <c r="AH141" s="41"/>
      <c r="AI141" s="46"/>
      <c r="AJ141" s="30"/>
      <c r="AK141" s="41"/>
      <c r="AL141" s="13"/>
      <c r="AM141" s="13"/>
      <c r="AN141" s="41"/>
      <c r="AO141"/>
      <c r="AP141"/>
      <c r="AQ141" s="46"/>
      <c r="AR141" s="13"/>
      <c r="AS141" s="13"/>
      <c r="AT141" s="41"/>
      <c r="AU141" s="13"/>
      <c r="AV141"/>
      <c r="AW141"/>
      <c r="AX141" s="13"/>
      <c r="AY141" s="13"/>
      <c r="AZ141" s="41"/>
      <c r="BA141" s="13"/>
      <c r="BB141" s="13"/>
      <c r="BC141" s="13"/>
      <c r="BD141" s="13"/>
      <c r="BE141"/>
      <c r="BG141"/>
      <c r="BI141"/>
      <c r="BK141"/>
      <c r="BO141"/>
      <c r="BW141"/>
    </row>
    <row r="142" spans="1:76" s="9" customFormat="1" x14ac:dyDescent="0.25">
      <c r="A142"/>
      <c r="B142"/>
      <c r="C142"/>
      <c r="D142"/>
      <c r="E142"/>
      <c r="F142" s="30"/>
      <c r="G142" s="53"/>
      <c r="H142" s="30"/>
      <c r="I142" s="210"/>
      <c r="J142" s="30"/>
      <c r="K142" s="30"/>
      <c r="L142" s="210"/>
      <c r="M142"/>
      <c r="N142" s="41"/>
      <c r="O142" s="30"/>
      <c r="P142" s="241"/>
      <c r="Q142" s="13"/>
      <c r="R142" s="41"/>
      <c r="S142" s="46"/>
      <c r="T142" s="41"/>
      <c r="U142" s="41"/>
      <c r="V142" s="41"/>
      <c r="W142"/>
      <c r="X142" s="13"/>
      <c r="Y142" s="112"/>
      <c r="Z142" s="13"/>
      <c r="AA142" s="147"/>
      <c r="AB142" s="41"/>
      <c r="AC142"/>
      <c r="AD142"/>
      <c r="AE142" s="13"/>
      <c r="AF142" s="13"/>
      <c r="AG142" s="147"/>
      <c r="AH142" s="41"/>
      <c r="AI142" s="46"/>
      <c r="AJ142" s="30"/>
      <c r="AK142" s="41"/>
      <c r="AL142" s="13"/>
      <c r="AM142" s="13"/>
      <c r="AN142" s="41"/>
      <c r="AO142"/>
      <c r="AP142"/>
      <c r="AQ142" s="46"/>
      <c r="AR142" s="13"/>
      <c r="AS142" s="13"/>
      <c r="AT142" s="41"/>
      <c r="AU142" s="13"/>
      <c r="AV142"/>
      <c r="AW142"/>
      <c r="AX142" s="13"/>
      <c r="AY142" s="13"/>
      <c r="AZ142" s="41"/>
      <c r="BA142" s="13"/>
      <c r="BB142" s="13"/>
      <c r="BC142" s="13"/>
      <c r="BD142" s="13"/>
      <c r="BE142"/>
      <c r="BG142"/>
      <c r="BI142"/>
      <c r="BK142"/>
      <c r="BO142"/>
      <c r="BW142"/>
    </row>
    <row r="143" spans="1:76" s="13" customFormat="1" x14ac:dyDescent="0.25">
      <c r="A143"/>
      <c r="B143"/>
      <c r="C143"/>
      <c r="D143"/>
      <c r="E143"/>
      <c r="F143" s="30"/>
      <c r="G143" s="53"/>
      <c r="H143" s="30"/>
      <c r="I143" s="210"/>
      <c r="J143" s="30"/>
      <c r="K143" s="30"/>
      <c r="L143" s="210"/>
      <c r="M143"/>
      <c r="N143" s="41"/>
      <c r="O143" s="30"/>
      <c r="P143" s="241"/>
      <c r="R143" s="41"/>
      <c r="S143" s="46"/>
      <c r="T143" s="41"/>
      <c r="U143" s="41"/>
      <c r="V143" s="41"/>
      <c r="W143"/>
      <c r="Y143" s="112"/>
      <c r="AA143" s="147"/>
      <c r="AB143" s="41"/>
      <c r="AC143"/>
      <c r="AD143"/>
      <c r="AG143" s="147"/>
      <c r="AH143" s="41"/>
      <c r="AI143" s="46"/>
      <c r="AJ143" s="30"/>
      <c r="AK143" s="41"/>
      <c r="AN143" s="41"/>
      <c r="AO143"/>
      <c r="AP143"/>
      <c r="AQ143" s="46"/>
      <c r="AT143" s="41"/>
      <c r="AV143"/>
      <c r="AW143"/>
      <c r="AZ143" s="41"/>
      <c r="BE143"/>
      <c r="BF143" s="9"/>
      <c r="BG143"/>
      <c r="BH143" s="9"/>
      <c r="BI143"/>
      <c r="BJ143" s="9"/>
      <c r="BK143"/>
      <c r="BL143" s="9"/>
      <c r="BM143" s="9"/>
      <c r="BN143" s="9"/>
      <c r="BO143"/>
      <c r="BP143" s="9"/>
      <c r="BQ143" s="9"/>
      <c r="BR143" s="9"/>
      <c r="BS143" s="9"/>
      <c r="BT143" s="9"/>
      <c r="BU143" s="9"/>
      <c r="BV143" s="9"/>
      <c r="BW143"/>
      <c r="BX143" s="9"/>
    </row>
    <row r="144" spans="1:76" s="13" customFormat="1" x14ac:dyDescent="0.25">
      <c r="A144"/>
      <c r="B144"/>
      <c r="C144"/>
      <c r="D144"/>
      <c r="E144"/>
      <c r="F144" s="30"/>
      <c r="G144" s="53"/>
      <c r="H144" s="30"/>
      <c r="I144" s="210"/>
      <c r="J144" s="30"/>
      <c r="K144" s="30"/>
      <c r="L144" s="210"/>
      <c r="M144"/>
      <c r="N144" s="41"/>
      <c r="O144" s="30"/>
      <c r="P144" s="241"/>
      <c r="R144" s="41"/>
      <c r="S144" s="46"/>
      <c r="T144" s="41"/>
      <c r="U144" s="41"/>
      <c r="V144" s="41"/>
      <c r="W144"/>
      <c r="Y144" s="112"/>
      <c r="AA144" s="147"/>
      <c r="AB144" s="41"/>
      <c r="AC144"/>
      <c r="AD144"/>
      <c r="AG144" s="147"/>
      <c r="AH144" s="41"/>
      <c r="AI144" s="46"/>
      <c r="AJ144" s="30"/>
      <c r="AK144" s="41"/>
      <c r="AN144" s="41"/>
      <c r="AO144"/>
      <c r="AP144"/>
      <c r="AQ144" s="46"/>
      <c r="AT144" s="41"/>
      <c r="AV144"/>
      <c r="AW144"/>
      <c r="AZ144" s="41"/>
      <c r="BE144"/>
      <c r="BF144" s="9"/>
      <c r="BG144"/>
      <c r="BH144" s="9"/>
      <c r="BI144"/>
      <c r="BJ144" s="9"/>
      <c r="BK144"/>
      <c r="BL144" s="9"/>
      <c r="BM144" s="9"/>
      <c r="BN144" s="9"/>
      <c r="BO144"/>
      <c r="BP144" s="9"/>
      <c r="BQ144" s="9"/>
      <c r="BR144" s="9"/>
      <c r="BS144" s="9"/>
      <c r="BT144" s="9"/>
      <c r="BU144" s="9"/>
      <c r="BV144" s="9"/>
      <c r="BW144"/>
      <c r="BX144" s="9"/>
    </row>
    <row r="145" spans="1:76" s="13" customFormat="1" x14ac:dyDescent="0.25">
      <c r="A145"/>
      <c r="B145"/>
      <c r="C145"/>
      <c r="D145"/>
      <c r="E145"/>
      <c r="F145" s="30"/>
      <c r="G145" s="53"/>
      <c r="H145" s="30"/>
      <c r="I145" s="210"/>
      <c r="J145" s="30"/>
      <c r="K145" s="30"/>
      <c r="L145" s="210"/>
      <c r="M145"/>
      <c r="N145" s="41"/>
      <c r="O145" s="30"/>
      <c r="P145" s="241"/>
      <c r="R145" s="41"/>
      <c r="S145" s="46"/>
      <c r="T145" s="41"/>
      <c r="U145" s="41"/>
      <c r="V145" s="41"/>
      <c r="W145"/>
      <c r="Y145" s="112"/>
      <c r="AA145" s="147"/>
      <c r="AB145" s="41"/>
      <c r="AC145"/>
      <c r="AD145"/>
      <c r="AG145" s="147"/>
      <c r="AH145" s="41"/>
      <c r="AI145" s="46"/>
      <c r="AJ145" s="30"/>
      <c r="AK145" s="41"/>
      <c r="AN145" s="41"/>
      <c r="AO145"/>
      <c r="AP145"/>
      <c r="AQ145" s="46"/>
      <c r="AT145" s="41"/>
      <c r="AV145"/>
      <c r="AW145"/>
      <c r="AZ145" s="41"/>
      <c r="BE145"/>
      <c r="BF145" s="9"/>
      <c r="BG145"/>
      <c r="BH145" s="9"/>
      <c r="BI145"/>
      <c r="BJ145" s="9"/>
      <c r="BK145"/>
      <c r="BL145" s="9"/>
      <c r="BM145" s="9"/>
      <c r="BN145" s="9"/>
      <c r="BO145"/>
      <c r="BP145" s="9"/>
      <c r="BQ145" s="9"/>
      <c r="BR145" s="9"/>
      <c r="BS145" s="9"/>
      <c r="BT145" s="9"/>
      <c r="BU145" s="9"/>
      <c r="BV145" s="9"/>
      <c r="BW145"/>
      <c r="BX145" s="9"/>
    </row>
    <row r="146" spans="1:76" s="13" customFormat="1" x14ac:dyDescent="0.25">
      <c r="A146"/>
      <c r="B146"/>
      <c r="C146"/>
      <c r="D146"/>
      <c r="E146"/>
      <c r="F146" s="30"/>
      <c r="G146" s="53"/>
      <c r="H146" s="30"/>
      <c r="I146" s="210"/>
      <c r="J146" s="30"/>
      <c r="K146" s="30"/>
      <c r="L146" s="210"/>
      <c r="M146"/>
      <c r="N146" s="41"/>
      <c r="O146" s="30"/>
      <c r="P146" s="241"/>
      <c r="R146" s="41"/>
      <c r="S146" s="46"/>
      <c r="T146" s="41"/>
      <c r="U146" s="41"/>
      <c r="V146" s="41"/>
      <c r="W146"/>
      <c r="Y146" s="112"/>
      <c r="AA146" s="147"/>
      <c r="AB146" s="41"/>
      <c r="AC146"/>
      <c r="AD146"/>
      <c r="AG146" s="147"/>
      <c r="AH146" s="41"/>
      <c r="AI146" s="46"/>
      <c r="AJ146" s="30"/>
      <c r="AK146" s="41"/>
      <c r="AN146" s="41"/>
      <c r="AO146"/>
      <c r="AP146"/>
      <c r="AQ146" s="46"/>
      <c r="AT146" s="41"/>
      <c r="AV146"/>
      <c r="AW146"/>
      <c r="AZ146" s="41"/>
      <c r="BE146"/>
      <c r="BF146" s="9"/>
      <c r="BG146"/>
      <c r="BH146" s="9"/>
      <c r="BI146"/>
      <c r="BJ146" s="9"/>
      <c r="BK146"/>
      <c r="BL146" s="9"/>
      <c r="BM146" s="9"/>
      <c r="BN146" s="9"/>
      <c r="BO146"/>
      <c r="BP146" s="9"/>
      <c r="BQ146" s="9"/>
      <c r="BR146" s="9"/>
      <c r="BS146" s="9"/>
      <c r="BT146" s="9"/>
      <c r="BU146" s="9"/>
      <c r="BV146" s="9"/>
      <c r="BW146"/>
      <c r="BX146" s="9"/>
    </row>
    <row r="147" spans="1:76" s="13" customFormat="1" x14ac:dyDescent="0.25">
      <c r="A147"/>
      <c r="B147"/>
      <c r="C147"/>
      <c r="D147"/>
      <c r="E147"/>
      <c r="F147" s="30"/>
      <c r="G147" s="53"/>
      <c r="H147" s="30"/>
      <c r="I147" s="210"/>
      <c r="J147" s="30"/>
      <c r="K147" s="30"/>
      <c r="L147" s="210"/>
      <c r="M147"/>
      <c r="N147" s="41"/>
      <c r="O147" s="30"/>
      <c r="P147" s="241"/>
      <c r="R147" s="41"/>
      <c r="S147" s="46"/>
      <c r="T147" s="41"/>
      <c r="U147" s="41"/>
      <c r="V147" s="41"/>
      <c r="W147"/>
      <c r="Y147" s="112"/>
      <c r="AA147" s="147"/>
      <c r="AB147" s="41"/>
      <c r="AC147"/>
      <c r="AD147"/>
      <c r="AG147" s="147"/>
      <c r="AH147" s="41"/>
      <c r="AI147" s="46"/>
      <c r="AJ147" s="30"/>
      <c r="AK147" s="41"/>
      <c r="AN147" s="41"/>
      <c r="AO147"/>
      <c r="AP147"/>
      <c r="AQ147" s="46"/>
      <c r="AT147" s="41"/>
      <c r="AV147"/>
      <c r="AW147"/>
      <c r="AZ147" s="41"/>
      <c r="BE147"/>
      <c r="BF147" s="9"/>
      <c r="BG147"/>
      <c r="BH147" s="9"/>
      <c r="BI147"/>
      <c r="BJ147" s="9"/>
      <c r="BK147"/>
      <c r="BL147" s="9"/>
      <c r="BM147" s="9"/>
      <c r="BN147" s="9"/>
      <c r="BO147"/>
      <c r="BP147" s="9"/>
      <c r="BQ147" s="9"/>
      <c r="BR147" s="9"/>
      <c r="BS147" s="9"/>
      <c r="BT147" s="9"/>
      <c r="BU147" s="9"/>
      <c r="BV147" s="9"/>
      <c r="BW147"/>
      <c r="BX147" s="9"/>
    </row>
  </sheetData>
  <mergeCells count="8">
    <mergeCell ref="AV5:AZ5"/>
    <mergeCell ref="AO5:AU5"/>
    <mergeCell ref="AI5:AN5"/>
    <mergeCell ref="F5:L5"/>
    <mergeCell ref="M5:R5"/>
    <mergeCell ref="S5:V5"/>
    <mergeCell ref="W5:AB5"/>
    <mergeCell ref="AC5:AH5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12.7109375" bestFit="1" customWidth="1"/>
    <col min="5" max="5" width="8.140625" customWidth="1"/>
    <col min="6" max="6" width="8.140625" style="41" customWidth="1"/>
    <col min="7" max="7" width="8.140625" customWidth="1"/>
    <col min="8" max="10" width="8.140625" style="13" customWidth="1"/>
    <col min="11" max="11" width="8.140625" style="261" customWidth="1"/>
    <col min="12" max="12" width="8.140625" customWidth="1"/>
    <col min="13" max="13" width="8.140625" style="13" customWidth="1"/>
    <col min="14" max="14" width="8.140625" customWidth="1"/>
    <col min="15" max="17" width="8.140625" style="13" customWidth="1"/>
    <col min="18" max="18" width="8.140625" customWidth="1"/>
    <col min="19" max="19" width="8.140625" style="41" customWidth="1"/>
    <col min="20" max="20" width="8.140625" style="46" customWidth="1"/>
    <col min="21" max="21" width="8.140625" style="30" customWidth="1"/>
    <col min="22" max="22" width="8.140625" style="41" customWidth="1"/>
    <col min="23" max="23" width="8.140625" customWidth="1"/>
    <col min="24" max="27" width="8.140625" style="13" customWidth="1"/>
    <col min="28" max="29" width="8.140625" customWidth="1"/>
    <col min="30" max="34" width="8.140625" style="13" customWidth="1"/>
    <col min="35" max="35" width="8.140625" customWidth="1"/>
    <col min="36" max="36" width="6.28515625" customWidth="1"/>
    <col min="37" max="37" width="8.140625" style="13" customWidth="1"/>
    <col min="38" max="38" width="7.5703125" style="13" bestFit="1" customWidth="1"/>
    <col min="39" max="39" width="8.140625" style="13" bestFit="1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8.140625" customWidth="1"/>
    <col min="45" max="45" width="8.140625" style="9" customWidth="1"/>
    <col min="46" max="46" width="8.140625" customWidth="1"/>
    <col min="47" max="49" width="8.140625" style="9" customWidth="1"/>
    <col min="50" max="50" width="8.140625" customWidth="1"/>
    <col min="51" max="57" width="8.140625" style="9" customWidth="1"/>
    <col min="58" max="58" width="8.140625" customWidth="1"/>
    <col min="59" max="59" width="8.140625" style="9" customWidth="1"/>
    <col min="60" max="60" width="10.42578125" bestFit="1" customWidth="1"/>
    <col min="61" max="73" width="8.140625" customWidth="1"/>
  </cols>
  <sheetData>
    <row r="1" spans="1:59" s="6" customFormat="1" x14ac:dyDescent="0.25">
      <c r="D1" s="6" t="s">
        <v>287</v>
      </c>
      <c r="E1" s="7" t="s">
        <v>1</v>
      </c>
      <c r="F1" s="40" t="s">
        <v>4</v>
      </c>
      <c r="G1" s="6" t="s">
        <v>7</v>
      </c>
      <c r="H1" s="12" t="s">
        <v>4</v>
      </c>
      <c r="I1" s="6" t="s">
        <v>149</v>
      </c>
      <c r="J1" s="12" t="s">
        <v>148</v>
      </c>
      <c r="K1" s="256" t="s">
        <v>8</v>
      </c>
      <c r="L1" s="6" t="s">
        <v>16</v>
      </c>
      <c r="M1" s="12" t="s">
        <v>4</v>
      </c>
      <c r="N1" s="6" t="s">
        <v>7</v>
      </c>
      <c r="O1" s="12" t="s">
        <v>4</v>
      </c>
      <c r="P1" s="6" t="s">
        <v>149</v>
      </c>
      <c r="Q1" s="12" t="s">
        <v>148</v>
      </c>
      <c r="R1" s="232" t="s">
        <v>8</v>
      </c>
      <c r="S1" s="231" t="s">
        <v>20</v>
      </c>
      <c r="T1" s="257" t="s">
        <v>42</v>
      </c>
      <c r="U1" s="255" t="s">
        <v>2</v>
      </c>
      <c r="V1" s="40" t="s">
        <v>4</v>
      </c>
      <c r="W1" s="6" t="s">
        <v>7</v>
      </c>
      <c r="X1" s="12" t="s">
        <v>4</v>
      </c>
      <c r="Y1" s="6" t="s">
        <v>149</v>
      </c>
      <c r="Z1" s="12" t="s">
        <v>148</v>
      </c>
      <c r="AA1" s="111" t="s">
        <v>8</v>
      </c>
      <c r="AB1" s="6" t="s">
        <v>45</v>
      </c>
      <c r="AC1" s="6" t="s">
        <v>7</v>
      </c>
      <c r="AD1" s="12" t="s">
        <v>4</v>
      </c>
      <c r="AE1" s="6" t="s">
        <v>149</v>
      </c>
      <c r="AF1" s="12" t="s">
        <v>148</v>
      </c>
      <c r="AG1" s="111" t="s">
        <v>8</v>
      </c>
      <c r="AH1" s="12" t="s">
        <v>19</v>
      </c>
      <c r="AI1" s="9" t="s">
        <v>6</v>
      </c>
      <c r="AJ1" s="9" t="s">
        <v>5</v>
      </c>
      <c r="AK1" s="12" t="s">
        <v>8</v>
      </c>
      <c r="AL1" s="6" t="s">
        <v>25</v>
      </c>
      <c r="AM1" s="6" t="s">
        <v>22</v>
      </c>
      <c r="AN1" s="7" t="s">
        <v>9</v>
      </c>
      <c r="AO1" s="9" t="s">
        <v>5</v>
      </c>
      <c r="AP1" s="6" t="s">
        <v>153</v>
      </c>
      <c r="AQ1" s="9" t="s">
        <v>5</v>
      </c>
      <c r="AR1" s="6" t="s">
        <v>154</v>
      </c>
      <c r="AS1" s="9" t="s">
        <v>5</v>
      </c>
      <c r="AT1" s="6" t="s">
        <v>39</v>
      </c>
      <c r="AU1" s="9" t="s">
        <v>5</v>
      </c>
      <c r="AV1" s="6" t="s">
        <v>155</v>
      </c>
      <c r="AW1" s="9" t="s">
        <v>5</v>
      </c>
      <c r="AX1" s="6" t="s">
        <v>152</v>
      </c>
      <c r="AY1" s="9" t="s">
        <v>5</v>
      </c>
      <c r="AZ1" s="6" t="s">
        <v>157</v>
      </c>
      <c r="BA1" s="9" t="s">
        <v>5</v>
      </c>
      <c r="BB1" s="6" t="s">
        <v>156</v>
      </c>
      <c r="BC1" s="9" t="s">
        <v>5</v>
      </c>
      <c r="BD1" s="6" t="s">
        <v>158</v>
      </c>
      <c r="BE1" s="9" t="s">
        <v>5</v>
      </c>
      <c r="BF1" s="6" t="s">
        <v>159</v>
      </c>
      <c r="BG1" s="37" t="s">
        <v>5</v>
      </c>
    </row>
    <row r="2" spans="1:59" x14ac:dyDescent="0.25">
      <c r="B2" s="1" t="s">
        <v>0</v>
      </c>
      <c r="C2" s="81">
        <v>42415</v>
      </c>
      <c r="D2" s="81"/>
      <c r="E2" s="3">
        <v>10</v>
      </c>
      <c r="F2" s="41">
        <v>10.17</v>
      </c>
      <c r="G2" s="2"/>
      <c r="H2" s="14">
        <v>0.22152777777777777</v>
      </c>
      <c r="I2" s="159">
        <v>129</v>
      </c>
      <c r="J2" s="147">
        <v>134</v>
      </c>
      <c r="K2" s="258">
        <v>3.7511574074074072E-2</v>
      </c>
      <c r="P2" s="159"/>
      <c r="Q2" s="147"/>
      <c r="R2" s="11"/>
      <c r="S2" s="223"/>
      <c r="T2" s="26"/>
      <c r="Y2" s="159"/>
      <c r="Z2" s="147"/>
      <c r="AA2" s="263"/>
      <c r="AE2" s="159"/>
      <c r="AF2" s="147"/>
      <c r="AG2" s="263"/>
      <c r="AH2" s="13">
        <f t="shared" ref="AH2:AH78" si="0">F2+M2+V2+AB2+S2</f>
        <v>10.17</v>
      </c>
      <c r="AI2" s="87">
        <f t="shared" ref="AI2:AI78" si="1">E2+L2+V2+AB2+S2</f>
        <v>10</v>
      </c>
      <c r="AJ2" s="27">
        <f t="shared" ref="AJ2:AJ95" si="2">AH2-AI2</f>
        <v>0.16999999999999993</v>
      </c>
      <c r="AK2" s="63">
        <f t="shared" ref="AK2:AK78" si="3">K2+R2+AA2+AG2+T2</f>
        <v>3.7511574074074072E-2</v>
      </c>
      <c r="AL2" s="59"/>
      <c r="AM2"/>
      <c r="AN2" s="3">
        <v>80.7</v>
      </c>
      <c r="AP2">
        <v>92</v>
      </c>
      <c r="AR2">
        <v>95</v>
      </c>
      <c r="AT2">
        <v>98</v>
      </c>
      <c r="AV2">
        <v>58</v>
      </c>
      <c r="AX2">
        <v>58</v>
      </c>
      <c r="AZ2">
        <v>41</v>
      </c>
      <c r="BB2">
        <v>41</v>
      </c>
      <c r="BD2">
        <v>30</v>
      </c>
      <c r="BF2">
        <v>30</v>
      </c>
      <c r="BG2" s="39"/>
    </row>
    <row r="3" spans="1:59" x14ac:dyDescent="0.25">
      <c r="B3" s="1" t="s">
        <v>24</v>
      </c>
      <c r="C3" s="81">
        <v>42416</v>
      </c>
      <c r="D3" s="81"/>
      <c r="E3" s="3">
        <v>10</v>
      </c>
      <c r="F3" s="41">
        <v>10.23</v>
      </c>
      <c r="G3" s="2">
        <v>0.20694444444444446</v>
      </c>
      <c r="H3" s="14">
        <v>0.20486111111111113</v>
      </c>
      <c r="I3" s="159">
        <v>143</v>
      </c>
      <c r="J3" s="147">
        <v>140</v>
      </c>
      <c r="K3" s="258">
        <v>3.4907407407407408E-2</v>
      </c>
      <c r="P3" s="159"/>
      <c r="Q3" s="147"/>
      <c r="R3" s="11"/>
      <c r="S3" s="223"/>
      <c r="T3" s="26"/>
      <c r="Y3" s="159"/>
      <c r="Z3" s="147"/>
      <c r="AA3" s="263"/>
      <c r="AE3" s="159"/>
      <c r="AF3" s="147"/>
      <c r="AG3" s="263"/>
      <c r="AH3" s="13">
        <f t="shared" si="0"/>
        <v>10.23</v>
      </c>
      <c r="AI3" s="87">
        <f t="shared" si="1"/>
        <v>10</v>
      </c>
      <c r="AJ3" s="27">
        <f t="shared" si="2"/>
        <v>0.23000000000000043</v>
      </c>
      <c r="AK3" s="63">
        <f t="shared" si="3"/>
        <v>3.4907407407407408E-2</v>
      </c>
      <c r="AL3" s="59"/>
      <c r="AM3"/>
      <c r="AN3" s="3"/>
      <c r="AV3"/>
      <c r="AZ3"/>
      <c r="BB3"/>
      <c r="BD3"/>
      <c r="BG3" s="37"/>
    </row>
    <row r="4" spans="1:59" x14ac:dyDescent="0.25">
      <c r="A4" s="25">
        <v>7</v>
      </c>
      <c r="B4" s="1" t="s">
        <v>15</v>
      </c>
      <c r="C4" s="81">
        <v>42417</v>
      </c>
      <c r="D4" s="81"/>
      <c r="E4" s="3">
        <v>10</v>
      </c>
      <c r="F4" s="41">
        <v>14.05</v>
      </c>
      <c r="G4" s="2"/>
      <c r="H4" s="14">
        <v>0.21319444444444444</v>
      </c>
      <c r="I4" s="159">
        <v>129</v>
      </c>
      <c r="J4" s="147">
        <v>133</v>
      </c>
      <c r="K4" s="258">
        <v>4.9895833333333334E-2</v>
      </c>
      <c r="N4" s="2"/>
      <c r="O4" s="14"/>
      <c r="P4" s="159"/>
      <c r="Q4" s="147"/>
      <c r="R4" s="26"/>
      <c r="S4" s="223"/>
      <c r="T4" s="26"/>
      <c r="W4" s="2"/>
      <c r="X4" s="14"/>
      <c r="Y4" s="159"/>
      <c r="Z4" s="147"/>
      <c r="AA4" s="264"/>
      <c r="AE4" s="159"/>
      <c r="AF4" s="147"/>
      <c r="AG4" s="263"/>
      <c r="AH4" s="13">
        <f t="shared" si="0"/>
        <v>14.05</v>
      </c>
      <c r="AI4" s="87">
        <f t="shared" si="1"/>
        <v>10</v>
      </c>
      <c r="AJ4" s="27">
        <f t="shared" si="2"/>
        <v>4.0500000000000007</v>
      </c>
      <c r="AK4" s="63">
        <f t="shared" si="3"/>
        <v>4.9895833333333334E-2</v>
      </c>
      <c r="AL4" s="59"/>
      <c r="AM4"/>
      <c r="AN4" s="3"/>
      <c r="AV4"/>
      <c r="AZ4"/>
      <c r="BB4"/>
      <c r="BD4"/>
      <c r="BG4" s="37"/>
    </row>
    <row r="5" spans="1:59" x14ac:dyDescent="0.25">
      <c r="A5" s="25"/>
      <c r="B5" s="1" t="s">
        <v>26</v>
      </c>
      <c r="C5" s="81">
        <v>42418</v>
      </c>
      <c r="D5" s="81"/>
      <c r="E5" s="3">
        <v>14</v>
      </c>
      <c r="F5" s="41">
        <v>10.32</v>
      </c>
      <c r="G5" s="2">
        <v>0.20694444444444446</v>
      </c>
      <c r="H5" s="14">
        <v>0.20625000000000002</v>
      </c>
      <c r="I5" s="159">
        <v>143</v>
      </c>
      <c r="J5" s="262" t="s">
        <v>162</v>
      </c>
      <c r="K5" s="258">
        <v>3.5474537037037041E-2</v>
      </c>
      <c r="N5" s="2"/>
      <c r="O5" s="14"/>
      <c r="P5" s="159"/>
      <c r="Q5" s="147"/>
      <c r="R5" s="26"/>
      <c r="S5" s="223"/>
      <c r="T5" s="26"/>
      <c r="W5" s="2"/>
      <c r="X5" s="14"/>
      <c r="Y5" s="159"/>
      <c r="Z5" s="147"/>
      <c r="AA5" s="264"/>
      <c r="AE5" s="159"/>
      <c r="AF5" s="147"/>
      <c r="AG5" s="263"/>
      <c r="AH5" s="13">
        <f t="shared" si="0"/>
        <v>10.32</v>
      </c>
      <c r="AI5" s="87">
        <f t="shared" si="1"/>
        <v>14</v>
      </c>
      <c r="AJ5" s="27">
        <f t="shared" si="2"/>
        <v>-3.6799999999999997</v>
      </c>
      <c r="AK5" s="63">
        <f t="shared" si="3"/>
        <v>3.5474537037037041E-2</v>
      </c>
      <c r="AL5" s="59"/>
      <c r="AM5"/>
      <c r="AN5" s="3"/>
      <c r="AV5"/>
      <c r="AZ5"/>
      <c r="BB5"/>
      <c r="BD5"/>
      <c r="BG5" s="37"/>
    </row>
    <row r="6" spans="1:59" x14ac:dyDescent="0.25">
      <c r="A6" s="25"/>
      <c r="B6" s="1" t="s">
        <v>29</v>
      </c>
      <c r="C6" s="81">
        <v>42419</v>
      </c>
      <c r="D6" s="81"/>
      <c r="E6" s="3"/>
      <c r="G6" s="2"/>
      <c r="H6" s="14"/>
      <c r="I6" s="159"/>
      <c r="J6" s="147"/>
      <c r="K6" s="258"/>
      <c r="L6">
        <v>6</v>
      </c>
      <c r="M6" s="13">
        <v>6.22</v>
      </c>
      <c r="N6" s="2"/>
      <c r="O6" s="14">
        <v>0.20833333333333334</v>
      </c>
      <c r="P6" s="159">
        <v>143</v>
      </c>
      <c r="Q6" s="147">
        <v>137</v>
      </c>
      <c r="R6" s="26">
        <v>2.1493055555555557E-2</v>
      </c>
      <c r="S6" s="223">
        <v>0.89</v>
      </c>
      <c r="T6" s="26">
        <v>4.1666666666666666E-3</v>
      </c>
      <c r="U6" s="30" t="s">
        <v>202</v>
      </c>
      <c r="V6" s="41">
        <v>6</v>
      </c>
      <c r="W6" s="2">
        <v>0.16388888888888889</v>
      </c>
      <c r="X6" s="14">
        <v>0.16319444444444445</v>
      </c>
      <c r="Y6" s="159">
        <v>171</v>
      </c>
      <c r="Z6" s="147">
        <v>162</v>
      </c>
      <c r="AA6" s="264">
        <v>1.6157407407407409E-2</v>
      </c>
      <c r="AE6" s="159"/>
      <c r="AF6" s="147"/>
      <c r="AG6" s="263"/>
      <c r="AH6" s="13">
        <f t="shared" si="0"/>
        <v>13.11</v>
      </c>
      <c r="AI6" s="87">
        <f t="shared" si="1"/>
        <v>12.89</v>
      </c>
      <c r="AJ6" s="27">
        <f t="shared" si="2"/>
        <v>0.21999999999999886</v>
      </c>
      <c r="AK6" s="63">
        <f t="shared" si="3"/>
        <v>4.1817129629629635E-2</v>
      </c>
      <c r="AL6" s="59"/>
      <c r="AM6"/>
      <c r="AN6" s="3"/>
      <c r="AV6"/>
      <c r="AZ6"/>
      <c r="BB6"/>
      <c r="BD6"/>
      <c r="BG6" s="37"/>
    </row>
    <row r="7" spans="1:59" x14ac:dyDescent="0.25">
      <c r="A7" s="18"/>
      <c r="B7" s="17" t="s">
        <v>27</v>
      </c>
      <c r="C7" s="85">
        <v>42421</v>
      </c>
      <c r="D7" s="85"/>
      <c r="E7" s="19">
        <v>24</v>
      </c>
      <c r="F7" s="42">
        <v>24.11</v>
      </c>
      <c r="G7" s="21">
        <v>0.20694444444444446</v>
      </c>
      <c r="H7" s="22">
        <v>0.20486111111111113</v>
      </c>
      <c r="I7" s="160">
        <v>157</v>
      </c>
      <c r="J7" s="156">
        <v>142</v>
      </c>
      <c r="K7" s="259">
        <v>8.2442129629629629E-2</v>
      </c>
      <c r="L7" s="18"/>
      <c r="M7" s="20"/>
      <c r="N7" s="18"/>
      <c r="O7" s="20"/>
      <c r="P7" s="160"/>
      <c r="Q7" s="156"/>
      <c r="R7" s="18"/>
      <c r="S7" s="224"/>
      <c r="T7" s="84"/>
      <c r="U7" s="31"/>
      <c r="V7" s="42"/>
      <c r="W7" s="18"/>
      <c r="X7" s="20"/>
      <c r="Y7" s="160"/>
      <c r="Z7" s="156"/>
      <c r="AA7" s="265"/>
      <c r="AB7" s="18"/>
      <c r="AC7" s="18"/>
      <c r="AD7" s="20"/>
      <c r="AE7" s="160"/>
      <c r="AF7" s="156"/>
      <c r="AG7" s="265"/>
      <c r="AH7" s="20">
        <f t="shared" si="0"/>
        <v>24.11</v>
      </c>
      <c r="AI7" s="88">
        <f t="shared" si="1"/>
        <v>24</v>
      </c>
      <c r="AJ7" s="18">
        <f t="shared" si="2"/>
        <v>0.10999999999999943</v>
      </c>
      <c r="AK7" s="58">
        <f t="shared" si="3"/>
        <v>8.2442129629629629E-2</v>
      </c>
      <c r="AL7" s="57">
        <f>SUM(AH2:AH7)</f>
        <v>81.990000000000009</v>
      </c>
      <c r="AM7" s="21">
        <f>SUM(AK2:AK7)</f>
        <v>0.28204861111111112</v>
      </c>
      <c r="AN7" s="19"/>
      <c r="AO7" s="36"/>
      <c r="AP7" s="18"/>
      <c r="AQ7" s="36"/>
      <c r="AR7" s="18"/>
      <c r="AS7" s="36"/>
      <c r="AT7" s="18"/>
      <c r="AU7" s="36"/>
      <c r="AV7" s="18"/>
      <c r="AW7" s="36"/>
      <c r="AX7" s="18"/>
      <c r="AY7" s="36"/>
      <c r="AZ7" s="18"/>
      <c r="BA7" s="36"/>
      <c r="BB7" s="18"/>
      <c r="BC7" s="36"/>
      <c r="BD7" s="18"/>
      <c r="BE7" s="36"/>
      <c r="BF7" s="18"/>
      <c r="BG7" s="38"/>
    </row>
    <row r="8" spans="1:59" x14ac:dyDescent="0.25">
      <c r="B8" s="1" t="s">
        <v>0</v>
      </c>
      <c r="C8" s="81">
        <v>42422</v>
      </c>
      <c r="D8" s="81"/>
      <c r="E8" s="3">
        <v>10</v>
      </c>
      <c r="F8" s="41">
        <v>10.27</v>
      </c>
      <c r="G8" s="2"/>
      <c r="H8" s="14">
        <v>0.21944444444444444</v>
      </c>
      <c r="I8" s="159">
        <v>129</v>
      </c>
      <c r="J8" s="147">
        <v>138</v>
      </c>
      <c r="K8" s="258">
        <v>3.7673611111111109E-2</v>
      </c>
      <c r="N8" s="2"/>
      <c r="O8" s="14"/>
      <c r="P8" s="159"/>
      <c r="Q8" s="147"/>
      <c r="R8" s="26"/>
      <c r="S8" s="223"/>
      <c r="T8" s="26"/>
      <c r="W8" s="2"/>
      <c r="X8" s="14"/>
      <c r="Y8" s="159"/>
      <c r="Z8" s="147"/>
      <c r="AA8" s="233"/>
      <c r="AE8" s="159"/>
      <c r="AF8" s="147"/>
      <c r="AG8" s="263"/>
      <c r="AH8" s="13">
        <f t="shared" si="0"/>
        <v>10.27</v>
      </c>
      <c r="AI8" s="87">
        <f t="shared" si="1"/>
        <v>10</v>
      </c>
      <c r="AJ8" s="27">
        <f t="shared" si="2"/>
        <v>0.26999999999999957</v>
      </c>
      <c r="AK8" s="63">
        <f t="shared" si="3"/>
        <v>3.7673611111111109E-2</v>
      </c>
      <c r="AL8" s="59"/>
      <c r="AM8"/>
      <c r="AN8" s="3"/>
      <c r="AO8" s="9">
        <f>$AN$2-AN8</f>
        <v>80.7</v>
      </c>
      <c r="AQ8" s="9">
        <f>$AP$2-AP8</f>
        <v>92</v>
      </c>
      <c r="AS8" s="9">
        <f>$AR$2-AR8</f>
        <v>95</v>
      </c>
      <c r="AU8" s="9">
        <f>$AT$2-AT8</f>
        <v>98</v>
      </c>
      <c r="AV8"/>
      <c r="AW8" s="9">
        <f>$AV$2-AV8</f>
        <v>58</v>
      </c>
      <c r="AY8" s="9">
        <f>$AX$2-AX8</f>
        <v>58</v>
      </c>
      <c r="AZ8"/>
      <c r="BA8" s="9">
        <f>$AZ$2-AZ8</f>
        <v>41</v>
      </c>
      <c r="BB8"/>
      <c r="BC8" s="9">
        <f>$BB$2-BB8</f>
        <v>41</v>
      </c>
      <c r="BD8"/>
      <c r="BE8" s="9">
        <f>$BD$2-BD8</f>
        <v>30</v>
      </c>
      <c r="BG8" s="37">
        <f>$BF$2-BF8</f>
        <v>30</v>
      </c>
    </row>
    <row r="9" spans="1:59" x14ac:dyDescent="0.25">
      <c r="B9" s="1" t="s">
        <v>24</v>
      </c>
      <c r="C9" s="81">
        <v>42423</v>
      </c>
      <c r="D9" s="81"/>
      <c r="E9" s="3">
        <v>12</v>
      </c>
      <c r="F9" s="41">
        <v>12.26</v>
      </c>
      <c r="G9" s="2">
        <v>0.20694444444444446</v>
      </c>
      <c r="H9" s="14">
        <v>0.20694444444444446</v>
      </c>
      <c r="I9" s="159">
        <v>143</v>
      </c>
      <c r="J9" s="262" t="s">
        <v>162</v>
      </c>
      <c r="K9" s="258">
        <v>4.2222222222222223E-2</v>
      </c>
      <c r="N9" s="2"/>
      <c r="O9" s="14"/>
      <c r="P9" s="159"/>
      <c r="Q9" s="147"/>
      <c r="R9" s="26"/>
      <c r="S9" s="223"/>
      <c r="T9" s="26"/>
      <c r="W9" s="2"/>
      <c r="X9" s="14"/>
      <c r="Y9" s="159"/>
      <c r="Z9" s="147"/>
      <c r="AA9" s="233"/>
      <c r="AE9" s="159"/>
      <c r="AF9" s="147"/>
      <c r="AG9" s="263"/>
      <c r="AH9" s="13">
        <f t="shared" si="0"/>
        <v>12.26</v>
      </c>
      <c r="AI9" s="87">
        <f t="shared" si="1"/>
        <v>12</v>
      </c>
      <c r="AJ9" s="27">
        <f t="shared" si="2"/>
        <v>0.25999999999999979</v>
      </c>
      <c r="AK9" s="63">
        <f t="shared" si="3"/>
        <v>4.2222222222222223E-2</v>
      </c>
      <c r="AL9" s="59"/>
      <c r="AM9"/>
      <c r="AN9" s="3"/>
      <c r="AV9"/>
      <c r="AZ9"/>
      <c r="BB9"/>
      <c r="BD9"/>
      <c r="BG9" s="37"/>
    </row>
    <row r="10" spans="1:59" x14ac:dyDescent="0.25">
      <c r="A10" s="6">
        <v>8</v>
      </c>
      <c r="B10" s="1" t="s">
        <v>15</v>
      </c>
      <c r="C10" s="81">
        <v>42424</v>
      </c>
      <c r="D10" s="81"/>
      <c r="E10" s="3">
        <v>10</v>
      </c>
      <c r="F10" s="41">
        <v>10.220000000000001</v>
      </c>
      <c r="G10" s="2"/>
      <c r="H10" s="14">
        <v>0.2076388888888889</v>
      </c>
      <c r="I10" s="159">
        <v>129</v>
      </c>
      <c r="J10" s="262" t="s">
        <v>162</v>
      </c>
      <c r="K10" s="258">
        <v>3.5381944444444445E-2</v>
      </c>
      <c r="N10" s="2"/>
      <c r="O10" s="14"/>
      <c r="P10" s="159"/>
      <c r="Q10" s="147"/>
      <c r="R10" s="26"/>
      <c r="S10" s="223"/>
      <c r="T10" s="26"/>
      <c r="W10" s="2"/>
      <c r="X10" s="14"/>
      <c r="Y10" s="159"/>
      <c r="Z10" s="147"/>
      <c r="AA10" s="233"/>
      <c r="AE10" s="159"/>
      <c r="AF10" s="147"/>
      <c r="AG10" s="263"/>
      <c r="AH10" s="13">
        <f t="shared" si="0"/>
        <v>10.220000000000001</v>
      </c>
      <c r="AI10" s="87">
        <f t="shared" si="1"/>
        <v>10</v>
      </c>
      <c r="AJ10" s="27">
        <f t="shared" si="2"/>
        <v>0.22000000000000064</v>
      </c>
      <c r="AK10" s="63">
        <f t="shared" si="3"/>
        <v>3.5381944444444445E-2</v>
      </c>
      <c r="AL10" s="59"/>
      <c r="AM10"/>
      <c r="AN10" s="3"/>
      <c r="AV10"/>
      <c r="AZ10"/>
      <c r="BB10"/>
      <c r="BD10"/>
      <c r="BG10" s="37"/>
    </row>
    <row r="11" spans="1:59" x14ac:dyDescent="0.25">
      <c r="A11" s="6"/>
      <c r="B11" s="1" t="s">
        <v>26</v>
      </c>
      <c r="C11" s="81">
        <v>42425</v>
      </c>
      <c r="D11" s="81"/>
      <c r="E11" s="3">
        <v>14</v>
      </c>
      <c r="F11" s="41">
        <v>14.27</v>
      </c>
      <c r="G11" s="2">
        <v>0.20694444444444446</v>
      </c>
      <c r="H11" s="14">
        <v>0.20625000000000002</v>
      </c>
      <c r="I11" s="159">
        <v>143</v>
      </c>
      <c r="J11" s="147">
        <v>144</v>
      </c>
      <c r="K11" s="258">
        <v>4.9062500000000002E-2</v>
      </c>
      <c r="N11" s="2"/>
      <c r="O11" s="14"/>
      <c r="P11" s="159"/>
      <c r="Q11" s="147"/>
      <c r="R11" s="26"/>
      <c r="S11" s="223"/>
      <c r="T11" s="26"/>
      <c r="W11" s="2"/>
      <c r="X11" s="14"/>
      <c r="Y11" s="159"/>
      <c r="Z11" s="147"/>
      <c r="AA11" s="233"/>
      <c r="AE11" s="159"/>
      <c r="AF11" s="147"/>
      <c r="AG11" s="263"/>
      <c r="AH11" s="13">
        <f t="shared" si="0"/>
        <v>14.27</v>
      </c>
      <c r="AI11" s="87">
        <f t="shared" si="1"/>
        <v>14</v>
      </c>
      <c r="AJ11" s="27">
        <f t="shared" si="2"/>
        <v>0.26999999999999957</v>
      </c>
      <c r="AK11" s="63">
        <f t="shared" si="3"/>
        <v>4.9062500000000002E-2</v>
      </c>
      <c r="AL11" s="59"/>
      <c r="AM11"/>
      <c r="AN11" s="3"/>
      <c r="AV11"/>
      <c r="AZ11"/>
      <c r="BB11"/>
      <c r="BD11"/>
      <c r="BG11" s="37"/>
    </row>
    <row r="12" spans="1:59" x14ac:dyDescent="0.25">
      <c r="A12" s="6"/>
      <c r="B12" s="1" t="s">
        <v>29</v>
      </c>
      <c r="C12" s="81">
        <v>42426</v>
      </c>
      <c r="D12" s="81"/>
      <c r="E12" s="3"/>
      <c r="G12" s="2"/>
      <c r="H12" s="14"/>
      <c r="I12" s="159"/>
      <c r="J12" s="147"/>
      <c r="K12" s="258"/>
      <c r="L12">
        <v>6</v>
      </c>
      <c r="M12" s="13">
        <v>6.11</v>
      </c>
      <c r="N12" s="2"/>
      <c r="O12" s="14">
        <v>0.20902777777777778</v>
      </c>
      <c r="P12" s="159">
        <v>143</v>
      </c>
      <c r="Q12" s="147">
        <v>141</v>
      </c>
      <c r="R12" s="26">
        <v>2.1307870370370369E-2</v>
      </c>
      <c r="S12" s="223"/>
      <c r="T12" s="26"/>
      <c r="W12" s="2"/>
      <c r="X12" s="14"/>
      <c r="Y12" s="159"/>
      <c r="Z12" s="147"/>
      <c r="AA12" s="233"/>
      <c r="AB12">
        <v>6</v>
      </c>
      <c r="AC12" s="2">
        <v>0.16388888888888889</v>
      </c>
      <c r="AD12" s="14">
        <v>0.16319444444444445</v>
      </c>
      <c r="AE12" s="159">
        <v>170</v>
      </c>
      <c r="AF12" s="147">
        <v>166</v>
      </c>
      <c r="AG12" s="233">
        <v>1.6331018518518519E-2</v>
      </c>
      <c r="AH12" s="13">
        <f t="shared" si="0"/>
        <v>12.11</v>
      </c>
      <c r="AI12" s="87">
        <f t="shared" si="1"/>
        <v>12</v>
      </c>
      <c r="AJ12" s="27">
        <f t="shared" si="2"/>
        <v>0.10999999999999943</v>
      </c>
      <c r="AK12" s="63">
        <f t="shared" si="3"/>
        <v>3.7638888888888888E-2</v>
      </c>
      <c r="AL12" s="59"/>
      <c r="AM12"/>
      <c r="AN12" s="3"/>
      <c r="AV12"/>
      <c r="AZ12"/>
      <c r="BB12"/>
      <c r="BD12"/>
      <c r="BG12" s="37"/>
    </row>
    <row r="13" spans="1:59" x14ac:dyDescent="0.25">
      <c r="A13" s="56"/>
      <c r="B13" s="17" t="s">
        <v>27</v>
      </c>
      <c r="C13" s="85">
        <v>42428</v>
      </c>
      <c r="D13" s="85"/>
      <c r="E13" s="19">
        <v>24</v>
      </c>
      <c r="F13" s="42">
        <v>24.05</v>
      </c>
      <c r="G13" s="21">
        <v>0.20694444444444446</v>
      </c>
      <c r="H13" s="22">
        <v>0.20486111111111113</v>
      </c>
      <c r="I13" s="160">
        <v>157</v>
      </c>
      <c r="J13" s="156">
        <v>135</v>
      </c>
      <c r="K13" s="259">
        <v>8.2199074074074077E-2</v>
      </c>
      <c r="L13" s="18"/>
      <c r="M13" s="20"/>
      <c r="N13" s="21"/>
      <c r="O13" s="20"/>
      <c r="P13" s="160"/>
      <c r="Q13" s="156"/>
      <c r="R13" s="18"/>
      <c r="S13" s="224"/>
      <c r="T13" s="84"/>
      <c r="U13" s="31"/>
      <c r="V13" s="42"/>
      <c r="W13" s="21"/>
      <c r="X13" s="20"/>
      <c r="Y13" s="160"/>
      <c r="Z13" s="156"/>
      <c r="AA13" s="265"/>
      <c r="AB13" s="18"/>
      <c r="AC13" s="18"/>
      <c r="AD13" s="20"/>
      <c r="AE13" s="160"/>
      <c r="AF13" s="156"/>
      <c r="AG13" s="265"/>
      <c r="AH13" s="20">
        <f t="shared" si="0"/>
        <v>24.05</v>
      </c>
      <c r="AI13" s="88">
        <f t="shared" si="1"/>
        <v>24</v>
      </c>
      <c r="AJ13" s="34">
        <f t="shared" si="2"/>
        <v>5.0000000000000711E-2</v>
      </c>
      <c r="AK13" s="58">
        <f t="shared" si="3"/>
        <v>8.2199074074074077E-2</v>
      </c>
      <c r="AL13" s="57">
        <f>SUM(AH8:AH13)</f>
        <v>83.179999999999993</v>
      </c>
      <c r="AM13" s="21">
        <f>SUM(AK8:AK13)</f>
        <v>0.28417824074074077</v>
      </c>
      <c r="AN13" s="19"/>
      <c r="AO13" s="36"/>
      <c r="AP13" s="18"/>
      <c r="AQ13" s="36"/>
      <c r="AR13" s="18"/>
      <c r="AS13" s="36"/>
      <c r="AT13" s="18"/>
      <c r="AU13" s="36"/>
      <c r="AV13" s="18"/>
      <c r="AW13" s="36"/>
      <c r="AX13" s="18"/>
      <c r="AY13" s="36"/>
      <c r="AZ13" s="18"/>
      <c r="BA13" s="36"/>
      <c r="BB13" s="18"/>
      <c r="BC13" s="36"/>
      <c r="BD13" s="18"/>
      <c r="BE13" s="36"/>
      <c r="BF13" s="18"/>
      <c r="BG13" s="38"/>
    </row>
    <row r="14" spans="1:59" x14ac:dyDescent="0.25">
      <c r="B14" s="1" t="s">
        <v>0</v>
      </c>
      <c r="C14" s="81">
        <v>42429</v>
      </c>
      <c r="D14" s="81"/>
      <c r="E14" s="3">
        <v>10</v>
      </c>
      <c r="F14" s="41">
        <v>11.9</v>
      </c>
      <c r="G14" s="2"/>
      <c r="H14" s="14">
        <v>0.21249999999999999</v>
      </c>
      <c r="I14" s="159">
        <v>129</v>
      </c>
      <c r="J14" s="147">
        <v>134</v>
      </c>
      <c r="K14" s="258">
        <v>4.2164351851851856E-2</v>
      </c>
      <c r="N14" s="2"/>
      <c r="O14" s="14"/>
      <c r="P14" s="159"/>
      <c r="Q14" s="147"/>
      <c r="R14" s="26"/>
      <c r="S14" s="223"/>
      <c r="T14" s="26"/>
      <c r="W14" s="2"/>
      <c r="X14" s="14"/>
      <c r="Y14" s="159"/>
      <c r="Z14" s="147"/>
      <c r="AA14" s="233"/>
      <c r="AE14" s="159"/>
      <c r="AF14" s="147"/>
      <c r="AG14" s="263"/>
      <c r="AH14" s="13">
        <f t="shared" si="0"/>
        <v>11.9</v>
      </c>
      <c r="AI14" s="87">
        <f t="shared" si="1"/>
        <v>10</v>
      </c>
      <c r="AJ14" s="27">
        <f t="shared" si="2"/>
        <v>1.9000000000000004</v>
      </c>
      <c r="AK14" s="63">
        <f t="shared" si="3"/>
        <v>4.2164351851851856E-2</v>
      </c>
      <c r="AL14" s="59"/>
      <c r="AM14"/>
      <c r="AN14" s="3"/>
      <c r="AO14" s="9">
        <f>$AN$2-AN14</f>
        <v>80.7</v>
      </c>
      <c r="AQ14" s="9">
        <f>$AP$2-AP14</f>
        <v>92</v>
      </c>
      <c r="AS14" s="9">
        <f>$AR$2-AR14</f>
        <v>95</v>
      </c>
      <c r="AU14" s="9">
        <f>$AT$2-AT14</f>
        <v>98</v>
      </c>
      <c r="AV14"/>
      <c r="AW14" s="9">
        <f>$AV$2-AV14</f>
        <v>58</v>
      </c>
      <c r="AY14" s="9">
        <f>$AX$2-AX14</f>
        <v>58</v>
      </c>
      <c r="AZ14"/>
      <c r="BA14" s="9">
        <f>$AZ$2-AZ14</f>
        <v>41</v>
      </c>
      <c r="BB14"/>
      <c r="BC14" s="9">
        <f>$BB$2-BB14</f>
        <v>41</v>
      </c>
      <c r="BD14"/>
      <c r="BE14" s="9">
        <f>$BD$2-BD14</f>
        <v>30</v>
      </c>
      <c r="BG14" s="37">
        <f>$BF$2-BF14</f>
        <v>30</v>
      </c>
    </row>
    <row r="15" spans="1:59" x14ac:dyDescent="0.25">
      <c r="B15" s="1" t="s">
        <v>24</v>
      </c>
      <c r="C15" s="81">
        <v>42430</v>
      </c>
      <c r="D15" s="81"/>
      <c r="E15" s="3">
        <v>12</v>
      </c>
      <c r="F15" s="41">
        <v>12.13</v>
      </c>
      <c r="G15" s="2">
        <v>0.20694444444444446</v>
      </c>
      <c r="H15" s="14">
        <v>0.20625000000000002</v>
      </c>
      <c r="I15" s="159">
        <v>143</v>
      </c>
      <c r="J15" s="262" t="s">
        <v>162</v>
      </c>
      <c r="K15" s="258">
        <v>4.1712962962962959E-2</v>
      </c>
      <c r="N15" s="2"/>
      <c r="O15" s="14"/>
      <c r="P15" s="159"/>
      <c r="Q15" s="147"/>
      <c r="R15" s="26"/>
      <c r="S15" s="223"/>
      <c r="T15" s="26"/>
      <c r="W15" s="2"/>
      <c r="X15" s="14"/>
      <c r="Y15" s="159"/>
      <c r="Z15" s="147"/>
      <c r="AA15" s="233"/>
      <c r="AE15" s="159"/>
      <c r="AF15" s="147"/>
      <c r="AG15" s="263"/>
      <c r="AH15" s="13">
        <f t="shared" si="0"/>
        <v>12.13</v>
      </c>
      <c r="AI15" s="87">
        <f t="shared" si="1"/>
        <v>12</v>
      </c>
      <c r="AJ15" s="27">
        <f t="shared" si="2"/>
        <v>0.13000000000000078</v>
      </c>
      <c r="AK15" s="63">
        <f t="shared" si="3"/>
        <v>4.1712962962962959E-2</v>
      </c>
      <c r="AL15" s="59"/>
      <c r="AM15"/>
      <c r="AN15" s="3"/>
      <c r="AV15"/>
      <c r="AZ15"/>
      <c r="BB15"/>
      <c r="BD15"/>
      <c r="BG15" s="37"/>
    </row>
    <row r="16" spans="1:59" x14ac:dyDescent="0.25">
      <c r="A16" s="6">
        <v>9</v>
      </c>
      <c r="B16" s="1" t="s">
        <v>15</v>
      </c>
      <c r="C16" s="81">
        <v>42431</v>
      </c>
      <c r="D16" s="81"/>
      <c r="E16" s="3">
        <v>10</v>
      </c>
      <c r="F16" s="41">
        <v>10.199999999999999</v>
      </c>
      <c r="G16" s="2"/>
      <c r="H16" s="14">
        <v>0.22222222222222221</v>
      </c>
      <c r="I16" s="159">
        <v>129</v>
      </c>
      <c r="J16" s="147">
        <v>137</v>
      </c>
      <c r="K16" s="258">
        <v>3.7800925925925925E-2</v>
      </c>
      <c r="N16" s="2"/>
      <c r="O16" s="14"/>
      <c r="P16" s="159"/>
      <c r="Q16" s="147"/>
      <c r="R16" s="26"/>
      <c r="S16" s="223"/>
      <c r="T16" s="26"/>
      <c r="W16" s="2"/>
      <c r="X16" s="14"/>
      <c r="Y16" s="159"/>
      <c r="Z16" s="147"/>
      <c r="AA16" s="233"/>
      <c r="AE16" s="159"/>
      <c r="AF16" s="147"/>
      <c r="AG16" s="263"/>
      <c r="AH16" s="13">
        <f t="shared" si="0"/>
        <v>10.199999999999999</v>
      </c>
      <c r="AI16" s="87">
        <f t="shared" si="1"/>
        <v>10</v>
      </c>
      <c r="AJ16" s="27">
        <f t="shared" si="2"/>
        <v>0.19999999999999929</v>
      </c>
      <c r="AK16" s="63">
        <f t="shared" si="3"/>
        <v>3.7800925925925925E-2</v>
      </c>
      <c r="AL16" s="59"/>
      <c r="AM16"/>
      <c r="AN16" s="3"/>
      <c r="AV16"/>
      <c r="AZ16"/>
      <c r="BB16"/>
      <c r="BD16"/>
      <c r="BG16" s="37"/>
    </row>
    <row r="17" spans="1:59" x14ac:dyDescent="0.25">
      <c r="A17" s="6"/>
      <c r="B17" s="1" t="s">
        <v>26</v>
      </c>
      <c r="C17" s="81">
        <v>42432</v>
      </c>
      <c r="D17" s="81"/>
      <c r="E17" s="3">
        <v>14</v>
      </c>
      <c r="F17" s="41">
        <v>14.09</v>
      </c>
      <c r="G17" s="2">
        <v>0.20694444444444446</v>
      </c>
      <c r="H17" s="14">
        <v>0.20625000000000002</v>
      </c>
      <c r="I17" s="159">
        <v>143</v>
      </c>
      <c r="J17" s="147">
        <v>139</v>
      </c>
      <c r="K17" s="258">
        <v>4.8460648148148149E-2</v>
      </c>
      <c r="N17" s="2"/>
      <c r="O17" s="14"/>
      <c r="P17" s="159"/>
      <c r="Q17" s="147"/>
      <c r="R17" s="26"/>
      <c r="S17" s="223"/>
      <c r="T17" s="26"/>
      <c r="W17" s="2"/>
      <c r="X17" s="14"/>
      <c r="Y17" s="159"/>
      <c r="Z17" s="147"/>
      <c r="AA17" s="233"/>
      <c r="AE17" s="159"/>
      <c r="AF17" s="147"/>
      <c r="AG17" s="263"/>
      <c r="AH17" s="13">
        <f t="shared" si="0"/>
        <v>14.09</v>
      </c>
      <c r="AI17" s="87">
        <f t="shared" si="1"/>
        <v>14</v>
      </c>
      <c r="AJ17" s="27">
        <f t="shared" si="2"/>
        <v>8.9999999999999858E-2</v>
      </c>
      <c r="AK17" s="63">
        <f t="shared" si="3"/>
        <v>4.8460648148148149E-2</v>
      </c>
      <c r="AL17" s="59"/>
      <c r="AM17"/>
      <c r="AN17" s="3"/>
      <c r="AV17"/>
      <c r="AZ17"/>
      <c r="BB17"/>
      <c r="BD17"/>
      <c r="BG17" s="37"/>
    </row>
    <row r="18" spans="1:59" x14ac:dyDescent="0.25">
      <c r="A18" s="6"/>
      <c r="B18" s="1" t="s">
        <v>29</v>
      </c>
      <c r="C18" s="81">
        <v>42433</v>
      </c>
      <c r="D18" s="81"/>
      <c r="E18" s="3"/>
      <c r="G18" s="2"/>
      <c r="H18" s="14"/>
      <c r="I18" s="159"/>
      <c r="J18" s="147"/>
      <c r="K18" s="258"/>
      <c r="L18">
        <v>6</v>
      </c>
      <c r="M18" s="13">
        <v>6.03</v>
      </c>
      <c r="N18" s="2"/>
      <c r="O18" s="14">
        <v>0.21041666666666667</v>
      </c>
      <c r="P18" s="159">
        <v>143</v>
      </c>
      <c r="Q18" s="147">
        <v>139</v>
      </c>
      <c r="R18" s="26">
        <v>2.1111111111111108E-2</v>
      </c>
      <c r="S18" s="223">
        <v>0.81</v>
      </c>
      <c r="T18" s="26">
        <v>4.1666666666666666E-3</v>
      </c>
      <c r="U18" s="30" t="s">
        <v>32</v>
      </c>
      <c r="V18" s="41">
        <v>8</v>
      </c>
      <c r="W18" s="2">
        <v>0.16388888888888889</v>
      </c>
      <c r="X18" s="14">
        <v>0.16250000000000001</v>
      </c>
      <c r="Y18" s="159">
        <v>171</v>
      </c>
      <c r="Z18" s="147">
        <v>164</v>
      </c>
      <c r="AA18" s="233">
        <v>2.1678240740740738E-2</v>
      </c>
      <c r="AE18" s="159"/>
      <c r="AF18" s="147"/>
      <c r="AG18" s="263"/>
      <c r="AH18" s="13">
        <f t="shared" si="0"/>
        <v>14.840000000000002</v>
      </c>
      <c r="AI18" s="87">
        <f t="shared" si="1"/>
        <v>14.81</v>
      </c>
      <c r="AJ18" s="27">
        <f t="shared" si="2"/>
        <v>3.0000000000001137E-2</v>
      </c>
      <c r="AK18" s="63">
        <f t="shared" si="3"/>
        <v>4.6956018518518508E-2</v>
      </c>
      <c r="AL18" s="59"/>
      <c r="AM18"/>
      <c r="AN18" s="3"/>
      <c r="AV18"/>
      <c r="AZ18"/>
      <c r="BB18"/>
      <c r="BD18"/>
      <c r="BG18" s="37"/>
    </row>
    <row r="19" spans="1:59" x14ac:dyDescent="0.25">
      <c r="A19" s="56"/>
      <c r="B19" s="17" t="s">
        <v>18</v>
      </c>
      <c r="C19" s="85">
        <v>42434</v>
      </c>
      <c r="D19" s="85"/>
      <c r="E19" s="19">
        <v>26</v>
      </c>
      <c r="F19" s="42">
        <v>26.87</v>
      </c>
      <c r="G19" s="21">
        <v>0.20694444444444446</v>
      </c>
      <c r="H19" s="22">
        <v>0.20486111111111113</v>
      </c>
      <c r="I19" s="160">
        <v>157</v>
      </c>
      <c r="J19" s="156">
        <v>145</v>
      </c>
      <c r="K19" s="259">
        <v>9.1817129629629624E-2</v>
      </c>
      <c r="L19" s="18"/>
      <c r="M19" s="20"/>
      <c r="N19" s="18"/>
      <c r="O19" s="20"/>
      <c r="P19" s="160"/>
      <c r="Q19" s="156"/>
      <c r="R19" s="18"/>
      <c r="S19" s="224"/>
      <c r="T19" s="84"/>
      <c r="U19" s="31"/>
      <c r="V19" s="42"/>
      <c r="W19" s="18"/>
      <c r="X19" s="20"/>
      <c r="Y19" s="160"/>
      <c r="Z19" s="156"/>
      <c r="AA19" s="265"/>
      <c r="AB19" s="18"/>
      <c r="AC19" s="18"/>
      <c r="AD19" s="20"/>
      <c r="AE19" s="160"/>
      <c r="AF19" s="156"/>
      <c r="AG19" s="265"/>
      <c r="AH19" s="20">
        <f t="shared" si="0"/>
        <v>26.87</v>
      </c>
      <c r="AI19" s="88">
        <f t="shared" si="1"/>
        <v>26</v>
      </c>
      <c r="AJ19" s="34">
        <f t="shared" si="2"/>
        <v>0.87000000000000099</v>
      </c>
      <c r="AK19" s="58">
        <f t="shared" si="3"/>
        <v>9.1817129629629624E-2</v>
      </c>
      <c r="AL19" s="57">
        <f>SUM(AH14:AH19)</f>
        <v>90.030000000000015</v>
      </c>
      <c r="AM19" s="21">
        <f>SUM(AK14:AK19)</f>
        <v>0.30891203703703701</v>
      </c>
      <c r="AN19" s="19"/>
      <c r="AO19" s="36"/>
      <c r="AP19" s="18"/>
      <c r="AQ19" s="36"/>
      <c r="AR19" s="18"/>
      <c r="AS19" s="36"/>
      <c r="AT19" s="18"/>
      <c r="AU19" s="36"/>
      <c r="AV19" s="18"/>
      <c r="AW19" s="36"/>
      <c r="AX19" s="18"/>
      <c r="AY19" s="36"/>
      <c r="AZ19" s="18"/>
      <c r="BA19" s="36"/>
      <c r="BB19" s="18"/>
      <c r="BC19" s="36"/>
      <c r="BD19" s="18"/>
      <c r="BE19" s="36"/>
      <c r="BF19" s="18"/>
      <c r="BG19" s="38"/>
    </row>
    <row r="20" spans="1:59" x14ac:dyDescent="0.25">
      <c r="B20" s="1" t="s">
        <v>0</v>
      </c>
      <c r="C20" s="81">
        <v>42436</v>
      </c>
      <c r="D20" s="81"/>
      <c r="E20" s="3">
        <v>8</v>
      </c>
      <c r="F20" s="41">
        <v>8.1</v>
      </c>
      <c r="G20" s="2"/>
      <c r="H20" s="14">
        <v>0.21319444444444444</v>
      </c>
      <c r="I20" s="159">
        <v>129</v>
      </c>
      <c r="J20" s="147">
        <v>136</v>
      </c>
      <c r="K20" s="258">
        <v>2.8796296296296296E-2</v>
      </c>
      <c r="N20" s="2"/>
      <c r="O20" s="14"/>
      <c r="P20" s="159"/>
      <c r="Q20" s="147"/>
      <c r="R20" s="26"/>
      <c r="S20" s="223"/>
      <c r="T20" s="26"/>
      <c r="W20" s="2"/>
      <c r="X20" s="14"/>
      <c r="Y20" s="159"/>
      <c r="Z20" s="147"/>
      <c r="AA20" s="233"/>
      <c r="AE20" s="159"/>
      <c r="AF20" s="147"/>
      <c r="AG20" s="263"/>
      <c r="AH20" s="13">
        <f t="shared" si="0"/>
        <v>8.1</v>
      </c>
      <c r="AI20" s="87">
        <f t="shared" si="1"/>
        <v>8</v>
      </c>
      <c r="AJ20" s="27">
        <f t="shared" si="2"/>
        <v>9.9999999999999645E-2</v>
      </c>
      <c r="AK20" s="63">
        <f t="shared" si="3"/>
        <v>2.8796296296296296E-2</v>
      </c>
      <c r="AL20" s="59"/>
      <c r="AM20"/>
      <c r="AN20" s="3"/>
      <c r="AO20" s="9">
        <f>$AN$2-AN20</f>
        <v>80.7</v>
      </c>
      <c r="AQ20" s="9">
        <f>$AP$2-AP20</f>
        <v>92</v>
      </c>
      <c r="AS20" s="9">
        <f>$AR$2-AR20</f>
        <v>95</v>
      </c>
      <c r="AU20" s="9">
        <f>$AT$2-AT20</f>
        <v>98</v>
      </c>
      <c r="AV20"/>
      <c r="AW20" s="9">
        <f>$AV$2-AV20</f>
        <v>58</v>
      </c>
      <c r="AY20" s="9">
        <f>$AX$2-AX20</f>
        <v>58</v>
      </c>
      <c r="AZ20"/>
      <c r="BA20" s="9">
        <f>$AZ$2-AZ20</f>
        <v>41</v>
      </c>
      <c r="BB20"/>
      <c r="BC20" s="9">
        <f>$BB$2-BB20</f>
        <v>41</v>
      </c>
      <c r="BD20"/>
      <c r="BE20" s="9">
        <f>$BD$2-BD20</f>
        <v>30</v>
      </c>
      <c r="BG20" s="37">
        <f>$BF$2-BF20</f>
        <v>30</v>
      </c>
    </row>
    <row r="21" spans="1:59" x14ac:dyDescent="0.25">
      <c r="B21" s="1" t="s">
        <v>24</v>
      </c>
      <c r="C21" s="81">
        <v>42437</v>
      </c>
      <c r="D21" s="81"/>
      <c r="E21" s="3">
        <v>10</v>
      </c>
      <c r="F21" s="41">
        <v>10.39</v>
      </c>
      <c r="G21" s="2">
        <v>0.20694444444444446</v>
      </c>
      <c r="H21" s="14">
        <v>0.20625000000000002</v>
      </c>
      <c r="I21" s="159">
        <v>143</v>
      </c>
      <c r="J21" s="147">
        <v>145</v>
      </c>
      <c r="K21" s="258">
        <v>3.577546296296296E-2</v>
      </c>
      <c r="N21" s="2"/>
      <c r="O21" s="14"/>
      <c r="P21" s="159"/>
      <c r="Q21" s="147"/>
      <c r="R21" s="26"/>
      <c r="S21" s="223"/>
      <c r="T21" s="26"/>
      <c r="W21" s="2"/>
      <c r="X21" s="14"/>
      <c r="Y21" s="159"/>
      <c r="Z21" s="147"/>
      <c r="AA21" s="233"/>
      <c r="AE21" s="159"/>
      <c r="AF21" s="147"/>
      <c r="AG21" s="263"/>
      <c r="AH21" s="13">
        <f t="shared" si="0"/>
        <v>10.39</v>
      </c>
      <c r="AI21" s="87">
        <f t="shared" si="1"/>
        <v>10</v>
      </c>
      <c r="AJ21" s="27">
        <f t="shared" si="2"/>
        <v>0.39000000000000057</v>
      </c>
      <c r="AK21" s="63">
        <f t="shared" si="3"/>
        <v>3.577546296296296E-2</v>
      </c>
      <c r="AL21" s="59"/>
      <c r="AM21"/>
      <c r="AN21" s="3"/>
      <c r="AV21"/>
      <c r="AZ21"/>
      <c r="BB21"/>
      <c r="BD21"/>
      <c r="BG21" s="37"/>
    </row>
    <row r="22" spans="1:59" x14ac:dyDescent="0.25">
      <c r="A22" s="6">
        <v>10</v>
      </c>
      <c r="B22" s="1" t="s">
        <v>15</v>
      </c>
      <c r="C22" s="81">
        <v>42438</v>
      </c>
      <c r="D22" s="81"/>
      <c r="E22" s="3">
        <v>8</v>
      </c>
      <c r="F22" s="41">
        <v>8.1300000000000008</v>
      </c>
      <c r="G22" s="2"/>
      <c r="H22" s="14">
        <v>0.22083333333333333</v>
      </c>
      <c r="I22" s="159">
        <v>129</v>
      </c>
      <c r="J22" s="262" t="s">
        <v>162</v>
      </c>
      <c r="K22" s="258">
        <v>2.990740740740741E-2</v>
      </c>
      <c r="N22" s="2"/>
      <c r="O22" s="14"/>
      <c r="P22" s="159"/>
      <c r="Q22" s="147"/>
      <c r="R22" s="26"/>
      <c r="S22" s="223"/>
      <c r="T22" s="26"/>
      <c r="W22" s="2"/>
      <c r="X22" s="14"/>
      <c r="Y22" s="159"/>
      <c r="Z22" s="147"/>
      <c r="AA22" s="233"/>
      <c r="AE22" s="159"/>
      <c r="AF22" s="147"/>
      <c r="AG22" s="263"/>
      <c r="AH22" s="13">
        <f t="shared" si="0"/>
        <v>8.1300000000000008</v>
      </c>
      <c r="AI22" s="87">
        <f t="shared" si="1"/>
        <v>8</v>
      </c>
      <c r="AJ22" s="27">
        <f t="shared" si="2"/>
        <v>0.13000000000000078</v>
      </c>
      <c r="AK22" s="63">
        <f t="shared" si="3"/>
        <v>2.990740740740741E-2</v>
      </c>
      <c r="AL22" s="59"/>
      <c r="AM22"/>
      <c r="AN22" s="3"/>
      <c r="AV22"/>
      <c r="AZ22"/>
      <c r="BB22"/>
      <c r="BD22"/>
      <c r="BG22" s="37"/>
    </row>
    <row r="23" spans="1:59" x14ac:dyDescent="0.25">
      <c r="A23" s="6"/>
      <c r="B23" s="1" t="s">
        <v>26</v>
      </c>
      <c r="C23" s="81">
        <v>42439</v>
      </c>
      <c r="D23" s="81"/>
      <c r="E23" s="3">
        <v>10</v>
      </c>
      <c r="F23" s="41">
        <v>11.65</v>
      </c>
      <c r="G23" s="2">
        <v>0.20694444444444446</v>
      </c>
      <c r="H23" s="14">
        <v>0.20208333333333331</v>
      </c>
      <c r="I23" s="159">
        <v>143</v>
      </c>
      <c r="J23" s="262" t="s">
        <v>162</v>
      </c>
      <c r="K23" s="258">
        <v>3.9293981481481485E-2</v>
      </c>
      <c r="N23" s="2"/>
      <c r="O23" s="14"/>
      <c r="P23" s="159"/>
      <c r="Q23" s="147"/>
      <c r="R23" s="26"/>
      <c r="S23" s="223"/>
      <c r="T23" s="26"/>
      <c r="W23" s="2"/>
      <c r="X23" s="14"/>
      <c r="Y23" s="159"/>
      <c r="Z23" s="147"/>
      <c r="AA23" s="233"/>
      <c r="AE23" s="159"/>
      <c r="AF23" s="147"/>
      <c r="AG23" s="263"/>
      <c r="AH23" s="13">
        <f t="shared" si="0"/>
        <v>11.65</v>
      </c>
      <c r="AI23" s="87">
        <f t="shared" si="1"/>
        <v>10</v>
      </c>
      <c r="AJ23" s="27">
        <f t="shared" si="2"/>
        <v>1.6500000000000004</v>
      </c>
      <c r="AK23" s="63">
        <f t="shared" si="3"/>
        <v>3.9293981481481485E-2</v>
      </c>
      <c r="AL23" s="59"/>
      <c r="AM23"/>
      <c r="AN23" s="3"/>
      <c r="AV23"/>
      <c r="AZ23"/>
      <c r="BB23"/>
      <c r="BD23"/>
      <c r="BG23" s="37"/>
    </row>
    <row r="24" spans="1:59" x14ac:dyDescent="0.25">
      <c r="A24" s="6"/>
      <c r="B24" s="1" t="s">
        <v>29</v>
      </c>
      <c r="C24" s="81">
        <v>42440</v>
      </c>
      <c r="D24" s="81"/>
      <c r="E24" s="3">
        <v>10</v>
      </c>
      <c r="F24" s="41">
        <v>10.45</v>
      </c>
      <c r="G24" s="2">
        <v>0.20694444444444446</v>
      </c>
      <c r="H24" s="14">
        <v>0.20138888888888887</v>
      </c>
      <c r="I24" s="159">
        <v>143</v>
      </c>
      <c r="J24" s="262" t="s">
        <v>162</v>
      </c>
      <c r="K24" s="258">
        <v>3.5057870370370371E-2</v>
      </c>
      <c r="N24" s="2"/>
      <c r="O24" s="14"/>
      <c r="P24" s="159"/>
      <c r="Q24" s="147"/>
      <c r="R24" s="26"/>
      <c r="S24" s="223"/>
      <c r="T24" s="26"/>
      <c r="W24" s="2"/>
      <c r="X24" s="14"/>
      <c r="Y24" s="159"/>
      <c r="Z24" s="147"/>
      <c r="AA24" s="233"/>
      <c r="AE24" s="159"/>
      <c r="AF24" s="147"/>
      <c r="AG24" s="263"/>
      <c r="AH24" s="13">
        <f t="shared" si="0"/>
        <v>10.45</v>
      </c>
      <c r="AI24" s="87">
        <f t="shared" si="1"/>
        <v>10</v>
      </c>
      <c r="AJ24" s="27">
        <f t="shared" si="2"/>
        <v>0.44999999999999929</v>
      </c>
      <c r="AK24" s="63">
        <f t="shared" si="3"/>
        <v>3.5057870370370371E-2</v>
      </c>
      <c r="AL24" s="59"/>
      <c r="AM24"/>
      <c r="AN24" s="3"/>
      <c r="AV24"/>
      <c r="AZ24"/>
      <c r="BB24"/>
      <c r="BD24"/>
      <c r="BG24" s="37"/>
    </row>
    <row r="25" spans="1:59" x14ac:dyDescent="0.25">
      <c r="A25" s="56"/>
      <c r="B25" s="17" t="s">
        <v>27</v>
      </c>
      <c r="C25" s="85">
        <v>42442</v>
      </c>
      <c r="D25" s="85"/>
      <c r="E25" s="19">
        <v>22</v>
      </c>
      <c r="F25" s="42">
        <v>22.11</v>
      </c>
      <c r="G25" s="21">
        <v>0.20694444444444446</v>
      </c>
      <c r="H25" s="22">
        <v>0.20486111111111113</v>
      </c>
      <c r="I25" s="160">
        <v>157</v>
      </c>
      <c r="J25" s="156">
        <v>140</v>
      </c>
      <c r="K25" s="259">
        <v>7.542824074074074E-2</v>
      </c>
      <c r="L25" s="18"/>
      <c r="M25" s="20"/>
      <c r="N25" s="18"/>
      <c r="O25" s="20"/>
      <c r="P25" s="160"/>
      <c r="Q25" s="156"/>
      <c r="R25" s="18"/>
      <c r="S25" s="224"/>
      <c r="T25" s="84"/>
      <c r="U25" s="31"/>
      <c r="V25" s="42"/>
      <c r="W25" s="18"/>
      <c r="X25" s="20"/>
      <c r="Y25" s="160"/>
      <c r="Z25" s="156"/>
      <c r="AA25" s="265"/>
      <c r="AB25" s="18"/>
      <c r="AC25" s="18"/>
      <c r="AD25" s="20"/>
      <c r="AE25" s="160"/>
      <c r="AF25" s="156"/>
      <c r="AG25" s="265"/>
      <c r="AH25" s="20">
        <f t="shared" si="0"/>
        <v>22.11</v>
      </c>
      <c r="AI25" s="88">
        <f t="shared" si="1"/>
        <v>22</v>
      </c>
      <c r="AJ25" s="34">
        <f t="shared" si="2"/>
        <v>0.10999999999999943</v>
      </c>
      <c r="AK25" s="58">
        <f t="shared" si="3"/>
        <v>7.542824074074074E-2</v>
      </c>
      <c r="AL25" s="57">
        <f>SUM(AH20:AH25)</f>
        <v>70.83</v>
      </c>
      <c r="AM25" s="21">
        <f>SUM(AK20:AK25)</f>
        <v>0.24425925925925929</v>
      </c>
      <c r="AN25" s="19"/>
      <c r="AO25" s="36"/>
      <c r="AP25" s="18"/>
      <c r="AQ25" s="36"/>
      <c r="AR25" s="18"/>
      <c r="AS25" s="36"/>
      <c r="AT25" s="18"/>
      <c r="AU25" s="36"/>
      <c r="AV25" s="18"/>
      <c r="AW25" s="36"/>
      <c r="AX25" s="18"/>
      <c r="AY25" s="36"/>
      <c r="AZ25" s="18"/>
      <c r="BA25" s="36"/>
      <c r="BB25" s="18"/>
      <c r="BC25" s="36"/>
      <c r="BD25" s="18"/>
      <c r="BE25" s="36"/>
      <c r="BF25" s="18"/>
      <c r="BG25" s="38"/>
    </row>
    <row r="26" spans="1:59" x14ac:dyDescent="0.25">
      <c r="B26" s="1" t="s">
        <v>0</v>
      </c>
      <c r="C26" s="81">
        <v>42443</v>
      </c>
      <c r="D26" s="81"/>
      <c r="E26" s="3">
        <v>10</v>
      </c>
      <c r="F26" s="41">
        <v>10.15</v>
      </c>
      <c r="G26" s="2"/>
      <c r="H26" s="14">
        <v>0.22430555555555556</v>
      </c>
      <c r="I26" s="159">
        <v>129</v>
      </c>
      <c r="J26" s="147">
        <v>134</v>
      </c>
      <c r="K26" s="258">
        <v>3.7997685185185183E-2</v>
      </c>
      <c r="N26" s="2"/>
      <c r="O26" s="14"/>
      <c r="P26" s="159"/>
      <c r="Q26" s="147"/>
      <c r="R26" s="26"/>
      <c r="S26" s="223"/>
      <c r="T26" s="26"/>
      <c r="W26" s="2"/>
      <c r="X26" s="14"/>
      <c r="Y26" s="159"/>
      <c r="Z26" s="147"/>
      <c r="AA26" s="233"/>
      <c r="AE26" s="159"/>
      <c r="AF26" s="147"/>
      <c r="AG26" s="263"/>
      <c r="AH26" s="13">
        <f t="shared" si="0"/>
        <v>10.15</v>
      </c>
      <c r="AI26" s="87">
        <f t="shared" si="1"/>
        <v>10</v>
      </c>
      <c r="AJ26" s="27">
        <f t="shared" si="2"/>
        <v>0.15000000000000036</v>
      </c>
      <c r="AK26" s="63">
        <f t="shared" si="3"/>
        <v>3.7997685185185183E-2</v>
      </c>
      <c r="AL26" s="59"/>
      <c r="AM26"/>
      <c r="AN26" s="3"/>
      <c r="AO26" s="9">
        <f>$AN$2-AN26</f>
        <v>80.7</v>
      </c>
      <c r="AQ26" s="9">
        <f>$AP$2-AP26</f>
        <v>92</v>
      </c>
      <c r="AS26" s="9">
        <f>$AR$2-AR26</f>
        <v>95</v>
      </c>
      <c r="AU26" s="9">
        <f>$AT$2-AT26</f>
        <v>98</v>
      </c>
      <c r="AV26"/>
      <c r="AW26" s="9">
        <f>$AV$2-AV26</f>
        <v>58</v>
      </c>
      <c r="AY26" s="9">
        <f>$AX$2-AX26</f>
        <v>58</v>
      </c>
      <c r="AZ26"/>
      <c r="BA26" s="9">
        <f>$AZ$2-AZ26</f>
        <v>41</v>
      </c>
      <c r="BB26"/>
      <c r="BC26" s="9">
        <f>$BB$2-BB26</f>
        <v>41</v>
      </c>
      <c r="BD26"/>
      <c r="BE26" s="9">
        <f>$BD$2-BD26</f>
        <v>30</v>
      </c>
      <c r="BG26" s="37">
        <f>$BF$2-BF26</f>
        <v>30</v>
      </c>
    </row>
    <row r="27" spans="1:59" x14ac:dyDescent="0.25">
      <c r="B27" s="1" t="s">
        <v>24</v>
      </c>
      <c r="C27" s="81">
        <v>42444</v>
      </c>
      <c r="D27" s="81"/>
      <c r="E27" s="3"/>
      <c r="G27" s="2"/>
      <c r="H27" s="14"/>
      <c r="I27" s="159"/>
      <c r="J27" s="147"/>
      <c r="K27" s="258"/>
      <c r="L27">
        <v>6</v>
      </c>
      <c r="M27" s="13">
        <v>6.01</v>
      </c>
      <c r="N27" s="2"/>
      <c r="O27" s="14">
        <v>0.21736111111111112</v>
      </c>
      <c r="P27" s="159">
        <v>143</v>
      </c>
      <c r="Q27" s="147">
        <v>149</v>
      </c>
      <c r="R27" s="26">
        <v>2.1805555555555554E-2</v>
      </c>
      <c r="S27" s="223">
        <v>2.4300000000000002</v>
      </c>
      <c r="T27" s="26">
        <v>1.1805555555555555E-2</v>
      </c>
      <c r="U27" s="30" t="s">
        <v>28</v>
      </c>
      <c r="V27" s="41">
        <v>6</v>
      </c>
      <c r="W27" s="2">
        <v>0.15208333333333332</v>
      </c>
      <c r="X27" s="14">
        <v>0.15277777777777776</v>
      </c>
      <c r="Y27" s="159">
        <v>185</v>
      </c>
      <c r="Z27" s="147">
        <v>166</v>
      </c>
      <c r="AA27" s="233">
        <v>1.5266203703703705E-2</v>
      </c>
      <c r="AE27" s="159"/>
      <c r="AF27" s="147"/>
      <c r="AG27" s="263"/>
      <c r="AH27" s="13">
        <f t="shared" si="0"/>
        <v>14.44</v>
      </c>
      <c r="AI27" s="87">
        <f t="shared" si="1"/>
        <v>14.43</v>
      </c>
      <c r="AJ27" s="27">
        <f t="shared" si="2"/>
        <v>9.9999999999997868E-3</v>
      </c>
      <c r="AK27" s="63">
        <f t="shared" si="3"/>
        <v>4.8877314814814818E-2</v>
      </c>
      <c r="AL27" s="59"/>
      <c r="AM27"/>
      <c r="AN27" s="3"/>
      <c r="AV27"/>
      <c r="AZ27"/>
      <c r="BB27"/>
      <c r="BD27"/>
      <c r="BG27" s="37"/>
    </row>
    <row r="28" spans="1:59" x14ac:dyDescent="0.25">
      <c r="A28" s="6">
        <v>11</v>
      </c>
      <c r="B28" s="1" t="s">
        <v>27</v>
      </c>
      <c r="C28" s="81">
        <v>42449</v>
      </c>
      <c r="D28" s="81"/>
      <c r="E28" s="3">
        <v>10</v>
      </c>
      <c r="F28" s="41">
        <v>10.039999999999999</v>
      </c>
      <c r="G28" s="2"/>
      <c r="H28" s="14">
        <v>0.20625000000000002</v>
      </c>
      <c r="I28" s="159">
        <v>129</v>
      </c>
      <c r="J28" s="147">
        <v>136</v>
      </c>
      <c r="K28" s="258">
        <v>3.4548611111111113E-2</v>
      </c>
      <c r="N28" s="2"/>
      <c r="O28" s="14"/>
      <c r="P28" s="159"/>
      <c r="Q28" s="147"/>
      <c r="R28" s="26"/>
      <c r="S28" s="223"/>
      <c r="T28" s="26"/>
      <c r="W28" s="2"/>
      <c r="X28" s="14"/>
      <c r="Y28" s="159"/>
      <c r="Z28" s="147"/>
      <c r="AA28" s="233"/>
      <c r="AE28" s="159"/>
      <c r="AF28" s="147"/>
      <c r="AG28" s="263"/>
      <c r="AH28" s="13">
        <f t="shared" si="0"/>
        <v>10.039999999999999</v>
      </c>
      <c r="AI28" s="87">
        <f t="shared" si="1"/>
        <v>10</v>
      </c>
      <c r="AJ28" s="27">
        <f t="shared" si="2"/>
        <v>3.9999999999999147E-2</v>
      </c>
      <c r="AK28" s="63">
        <f t="shared" si="3"/>
        <v>3.4548611111111113E-2</v>
      </c>
      <c r="AL28" s="59"/>
      <c r="AM28"/>
      <c r="AN28" s="3"/>
      <c r="AV28"/>
      <c r="AZ28"/>
      <c r="BB28"/>
      <c r="BD28"/>
      <c r="BG28" s="37"/>
    </row>
    <row r="29" spans="1:59" x14ac:dyDescent="0.25">
      <c r="A29" s="6"/>
      <c r="B29" s="1" t="s">
        <v>15</v>
      </c>
      <c r="C29" s="81">
        <v>42445</v>
      </c>
      <c r="D29" s="81"/>
      <c r="E29" s="3">
        <v>12</v>
      </c>
      <c r="F29" s="41">
        <v>12.37</v>
      </c>
      <c r="G29" s="2">
        <v>0.20694444444444446</v>
      </c>
      <c r="H29" s="14">
        <v>0.20416666666666669</v>
      </c>
      <c r="I29" s="159">
        <v>143</v>
      </c>
      <c r="J29" s="147">
        <v>140</v>
      </c>
      <c r="K29" s="258">
        <v>4.2152777777777782E-2</v>
      </c>
      <c r="N29" s="2"/>
      <c r="O29" s="14"/>
      <c r="P29" s="159"/>
      <c r="Q29" s="147"/>
      <c r="R29" s="26"/>
      <c r="S29" s="223"/>
      <c r="T29" s="26"/>
      <c r="W29" s="2"/>
      <c r="X29" s="14"/>
      <c r="Y29" s="159"/>
      <c r="Z29" s="147"/>
      <c r="AA29" s="233"/>
      <c r="AE29" s="159"/>
      <c r="AF29" s="147"/>
      <c r="AG29" s="263"/>
      <c r="AH29" s="13">
        <f t="shared" si="0"/>
        <v>12.37</v>
      </c>
      <c r="AI29" s="87">
        <f t="shared" si="1"/>
        <v>12</v>
      </c>
      <c r="AJ29" s="27">
        <f t="shared" si="2"/>
        <v>0.36999999999999922</v>
      </c>
      <c r="AK29" s="63">
        <f t="shared" si="3"/>
        <v>4.2152777777777782E-2</v>
      </c>
      <c r="AL29" s="59"/>
      <c r="AM29"/>
      <c r="AN29" s="3"/>
      <c r="AV29"/>
      <c r="AZ29"/>
      <c r="BB29"/>
      <c r="BD29"/>
      <c r="BG29" s="37"/>
    </row>
    <row r="30" spans="1:59" x14ac:dyDescent="0.25">
      <c r="A30" s="6"/>
      <c r="B30" s="1" t="s">
        <v>26</v>
      </c>
      <c r="C30" s="81">
        <v>42446</v>
      </c>
      <c r="D30" s="81"/>
      <c r="E30" s="3">
        <v>16</v>
      </c>
      <c r="F30" s="41">
        <v>16.25</v>
      </c>
      <c r="G30" s="2">
        <v>0.20694444444444446</v>
      </c>
      <c r="H30" s="14">
        <v>0.20138888888888887</v>
      </c>
      <c r="I30" s="159">
        <v>143</v>
      </c>
      <c r="J30" s="147">
        <v>145</v>
      </c>
      <c r="K30" s="258">
        <v>5.454861111111111E-2</v>
      </c>
      <c r="N30" s="2"/>
      <c r="O30" s="14"/>
      <c r="P30" s="159"/>
      <c r="Q30" s="147"/>
      <c r="R30" s="26"/>
      <c r="S30" s="223"/>
      <c r="T30" s="26"/>
      <c r="W30" s="2"/>
      <c r="X30" s="14"/>
      <c r="Y30" s="159"/>
      <c r="Z30" s="147"/>
      <c r="AA30" s="233"/>
      <c r="AE30" s="159"/>
      <c r="AF30" s="147"/>
      <c r="AG30" s="263"/>
      <c r="AH30" s="13">
        <f t="shared" si="0"/>
        <v>16.25</v>
      </c>
      <c r="AI30" s="87">
        <f t="shared" si="1"/>
        <v>16</v>
      </c>
      <c r="AJ30" s="27">
        <f t="shared" si="2"/>
        <v>0.25</v>
      </c>
      <c r="AK30" s="63">
        <f t="shared" si="3"/>
        <v>5.454861111111111E-2</v>
      </c>
      <c r="AL30" s="59"/>
      <c r="AM30"/>
      <c r="AN30" s="3"/>
      <c r="AV30"/>
      <c r="AZ30"/>
      <c r="BB30"/>
      <c r="BD30"/>
      <c r="BG30" s="37"/>
    </row>
    <row r="31" spans="1:59" x14ac:dyDescent="0.25">
      <c r="A31" s="56"/>
      <c r="B31" s="17" t="s">
        <v>18</v>
      </c>
      <c r="C31" s="85">
        <v>42448</v>
      </c>
      <c r="D31" s="85" t="s">
        <v>293</v>
      </c>
      <c r="E31" s="19">
        <v>26</v>
      </c>
      <c r="F31" s="42">
        <v>42.39</v>
      </c>
      <c r="G31" s="21">
        <v>0.20694444444444446</v>
      </c>
      <c r="H31" s="22">
        <v>0.20416666666666669</v>
      </c>
      <c r="I31" s="160">
        <v>157</v>
      </c>
      <c r="J31" s="156">
        <v>145</v>
      </c>
      <c r="K31" s="259">
        <v>0.14431712962962964</v>
      </c>
      <c r="L31" s="18"/>
      <c r="M31" s="20"/>
      <c r="N31" s="18"/>
      <c r="O31" s="20"/>
      <c r="P31" s="160"/>
      <c r="Q31" s="156"/>
      <c r="R31" s="18"/>
      <c r="S31" s="224"/>
      <c r="T31" s="84"/>
      <c r="U31" s="31"/>
      <c r="V31" s="42"/>
      <c r="W31" s="18"/>
      <c r="X31" s="20"/>
      <c r="Y31" s="160"/>
      <c r="Z31" s="156"/>
      <c r="AA31" s="265"/>
      <c r="AB31" s="18"/>
      <c r="AC31" s="18"/>
      <c r="AD31" s="20"/>
      <c r="AE31" s="160"/>
      <c r="AF31" s="156"/>
      <c r="AG31" s="265"/>
      <c r="AH31" s="20">
        <f t="shared" si="0"/>
        <v>42.39</v>
      </c>
      <c r="AI31" s="88">
        <f t="shared" si="1"/>
        <v>26</v>
      </c>
      <c r="AJ31" s="34">
        <f t="shared" si="2"/>
        <v>16.39</v>
      </c>
      <c r="AK31" s="58">
        <f t="shared" si="3"/>
        <v>0.14431712962962964</v>
      </c>
      <c r="AL31" s="57">
        <f>SUM(AH26:AH31)</f>
        <v>105.63999999999999</v>
      </c>
      <c r="AM31" s="21">
        <f>SUM(AK26:AK31)</f>
        <v>0.36244212962962963</v>
      </c>
      <c r="AN31" s="19"/>
      <c r="AO31" s="36"/>
      <c r="AP31" s="18"/>
      <c r="AQ31" s="36"/>
      <c r="AR31" s="18"/>
      <c r="AS31" s="36"/>
      <c r="AT31" s="18"/>
      <c r="AU31" s="36"/>
      <c r="AV31" s="18"/>
      <c r="AW31" s="36"/>
      <c r="AX31" s="18"/>
      <c r="AY31" s="36"/>
      <c r="AZ31" s="18"/>
      <c r="BA31" s="36"/>
      <c r="BB31" s="18"/>
      <c r="BC31" s="36"/>
      <c r="BD31" s="18"/>
      <c r="BE31" s="36"/>
      <c r="BF31" s="18"/>
      <c r="BG31" s="38"/>
    </row>
    <row r="32" spans="1:59" x14ac:dyDescent="0.25">
      <c r="A32" s="6"/>
      <c r="B32" s="1" t="s">
        <v>0</v>
      </c>
      <c r="C32" s="81">
        <v>42450</v>
      </c>
      <c r="D32" s="81"/>
      <c r="E32" s="3">
        <v>10</v>
      </c>
      <c r="F32" s="41">
        <v>10.039999999999999</v>
      </c>
      <c r="G32" s="2"/>
      <c r="H32" s="14">
        <v>0.21736111111111112</v>
      </c>
      <c r="I32" s="159">
        <v>129</v>
      </c>
      <c r="J32" s="147">
        <v>143</v>
      </c>
      <c r="K32" s="258">
        <v>3.6400462962962961E-2</v>
      </c>
      <c r="N32" s="2"/>
      <c r="O32" s="14"/>
      <c r="P32" s="159"/>
      <c r="Q32" s="147"/>
      <c r="R32" s="26"/>
      <c r="S32" s="223"/>
      <c r="T32" s="26"/>
      <c r="W32" s="2"/>
      <c r="X32" s="14"/>
      <c r="Y32" s="159"/>
      <c r="Z32" s="147"/>
      <c r="AA32" s="233"/>
      <c r="AE32" s="159"/>
      <c r="AF32" s="147"/>
      <c r="AG32" s="263"/>
      <c r="AH32" s="13">
        <f t="shared" si="0"/>
        <v>10.039999999999999</v>
      </c>
      <c r="AI32" s="87">
        <f t="shared" si="1"/>
        <v>10</v>
      </c>
      <c r="AJ32" s="27">
        <f t="shared" si="2"/>
        <v>3.9999999999999147E-2</v>
      </c>
      <c r="AK32" s="63">
        <f t="shared" si="3"/>
        <v>3.6400462962962961E-2</v>
      </c>
      <c r="AL32" s="59"/>
      <c r="AM32"/>
      <c r="AN32" s="3"/>
      <c r="AO32" s="9">
        <f>$AN$2-AN32</f>
        <v>80.7</v>
      </c>
      <c r="AQ32" s="9">
        <f>$AP$2-AP32</f>
        <v>92</v>
      </c>
      <c r="AS32" s="9">
        <f>$AR$2-AR32</f>
        <v>95</v>
      </c>
      <c r="AU32" s="9">
        <f>$AT$2-AT32</f>
        <v>98</v>
      </c>
      <c r="AV32"/>
      <c r="AW32" s="9">
        <f>$AV$2-AV32</f>
        <v>58</v>
      </c>
      <c r="AY32" s="9">
        <f>$AX$2-AX32</f>
        <v>58</v>
      </c>
      <c r="AZ32"/>
      <c r="BA32" s="9">
        <f>$AZ$2-AZ32</f>
        <v>41</v>
      </c>
      <c r="BB32"/>
      <c r="BC32" s="9">
        <f>$BB$2-BB32</f>
        <v>41</v>
      </c>
      <c r="BD32"/>
      <c r="BE32" s="9">
        <f>$BD$2-BD32</f>
        <v>30</v>
      </c>
      <c r="BG32" s="37">
        <f>$BF$2-BF32</f>
        <v>30</v>
      </c>
    </row>
    <row r="33" spans="1:59" x14ac:dyDescent="0.25">
      <c r="A33" s="6"/>
      <c r="B33" s="1" t="s">
        <v>24</v>
      </c>
      <c r="C33" s="81">
        <v>42451</v>
      </c>
      <c r="D33" s="81"/>
      <c r="E33" s="3"/>
      <c r="G33" s="2"/>
      <c r="H33" s="14"/>
      <c r="I33" s="159"/>
      <c r="J33" s="147"/>
      <c r="K33" s="258"/>
      <c r="L33">
        <v>6</v>
      </c>
      <c r="M33" s="13">
        <v>6.1</v>
      </c>
      <c r="N33" s="2"/>
      <c r="O33" s="14">
        <v>0.21388888888888891</v>
      </c>
      <c r="P33" s="159">
        <v>143</v>
      </c>
      <c r="Q33" s="147">
        <v>135</v>
      </c>
      <c r="R33" s="26">
        <v>2.1608796296296296E-2</v>
      </c>
      <c r="S33" s="223">
        <v>1.59</v>
      </c>
      <c r="T33" s="26">
        <v>7.4074074074074068E-3</v>
      </c>
      <c r="U33" s="30" t="s">
        <v>44</v>
      </c>
      <c r="V33" s="41">
        <v>4</v>
      </c>
      <c r="W33" s="2">
        <v>0.15208333333333332</v>
      </c>
      <c r="X33" s="14">
        <v>0.15138888888888888</v>
      </c>
      <c r="Y33" s="159">
        <v>185</v>
      </c>
      <c r="Z33" s="147">
        <v>168</v>
      </c>
      <c r="AA33" s="233">
        <v>1.0104166666666668E-2</v>
      </c>
      <c r="AD33" s="14"/>
      <c r="AE33" s="159"/>
      <c r="AF33" s="147"/>
      <c r="AG33" s="264"/>
      <c r="AH33" s="13">
        <f t="shared" si="0"/>
        <v>11.69</v>
      </c>
      <c r="AI33" s="87">
        <f t="shared" si="1"/>
        <v>11.59</v>
      </c>
      <c r="AJ33" s="27">
        <f t="shared" si="2"/>
        <v>9.9999999999999645E-2</v>
      </c>
      <c r="AK33" s="63">
        <f t="shared" si="3"/>
        <v>3.9120370370370368E-2</v>
      </c>
      <c r="AL33" s="59"/>
      <c r="AM33"/>
      <c r="AN33" s="3"/>
      <c r="AV33"/>
      <c r="AZ33"/>
      <c r="BB33"/>
      <c r="BD33"/>
      <c r="BG33" s="37"/>
    </row>
    <row r="34" spans="1:59" x14ac:dyDescent="0.25">
      <c r="A34" s="6">
        <v>12</v>
      </c>
      <c r="B34" s="1" t="s">
        <v>15</v>
      </c>
      <c r="C34" s="81">
        <v>42452</v>
      </c>
      <c r="D34" s="81"/>
      <c r="E34" s="3">
        <v>10</v>
      </c>
      <c r="F34" s="41">
        <v>10</v>
      </c>
      <c r="G34" s="2"/>
      <c r="H34" s="14">
        <v>0.22152777777777777</v>
      </c>
      <c r="I34" s="159">
        <v>129</v>
      </c>
      <c r="J34" s="147">
        <v>135</v>
      </c>
      <c r="K34" s="258">
        <v>3.6921296296296292E-2</v>
      </c>
      <c r="N34" s="2"/>
      <c r="O34" s="14"/>
      <c r="P34" s="159"/>
      <c r="Q34" s="147"/>
      <c r="R34" s="26"/>
      <c r="S34" s="223"/>
      <c r="T34" s="26"/>
      <c r="W34" s="2"/>
      <c r="X34" s="14"/>
      <c r="Y34" s="159"/>
      <c r="Z34" s="147"/>
      <c r="AA34" s="233"/>
      <c r="AE34" s="159"/>
      <c r="AF34" s="147"/>
      <c r="AG34" s="263"/>
      <c r="AH34" s="13">
        <f t="shared" si="0"/>
        <v>10</v>
      </c>
      <c r="AI34" s="87">
        <f t="shared" si="1"/>
        <v>10</v>
      </c>
      <c r="AJ34" s="27">
        <f t="shared" si="2"/>
        <v>0</v>
      </c>
      <c r="AK34" s="63">
        <f t="shared" si="3"/>
        <v>3.6921296296296292E-2</v>
      </c>
      <c r="AL34" s="59"/>
      <c r="AM34"/>
      <c r="AN34" s="3"/>
      <c r="AV34"/>
      <c r="AZ34"/>
      <c r="BB34"/>
      <c r="BD34"/>
      <c r="BG34" s="37"/>
    </row>
    <row r="35" spans="1:59" x14ac:dyDescent="0.25">
      <c r="A35" s="6"/>
      <c r="B35" s="1" t="s">
        <v>26</v>
      </c>
      <c r="C35" s="81">
        <v>42453</v>
      </c>
      <c r="D35" s="81"/>
      <c r="E35" s="3">
        <v>16</v>
      </c>
      <c r="F35" s="41">
        <v>16.010000000000002</v>
      </c>
      <c r="G35" s="2">
        <v>0.20694444444444446</v>
      </c>
      <c r="H35" s="14">
        <v>0.20625000000000002</v>
      </c>
      <c r="I35" s="159">
        <v>143</v>
      </c>
      <c r="J35" s="147">
        <v>143</v>
      </c>
      <c r="K35" s="258">
        <v>5.5011574074074067E-2</v>
      </c>
      <c r="N35" s="2"/>
      <c r="O35" s="14"/>
      <c r="P35" s="159"/>
      <c r="Q35" s="147"/>
      <c r="R35" s="26"/>
      <c r="S35" s="223"/>
      <c r="T35" s="26"/>
      <c r="W35" s="2"/>
      <c r="X35" s="14"/>
      <c r="Y35" s="159"/>
      <c r="Z35" s="147"/>
      <c r="AA35" s="233"/>
      <c r="AE35" s="159"/>
      <c r="AF35" s="147"/>
      <c r="AG35" s="263"/>
      <c r="AH35" s="13">
        <f t="shared" si="0"/>
        <v>16.010000000000002</v>
      </c>
      <c r="AI35" s="87">
        <f t="shared" si="1"/>
        <v>16</v>
      </c>
      <c r="AJ35" s="27">
        <f t="shared" si="2"/>
        <v>1.0000000000001563E-2</v>
      </c>
      <c r="AK35" s="63">
        <f t="shared" si="3"/>
        <v>5.5011574074074067E-2</v>
      </c>
      <c r="AL35" s="59"/>
      <c r="AM35"/>
      <c r="AN35" s="3"/>
      <c r="AV35"/>
      <c r="AZ35"/>
      <c r="BB35"/>
      <c r="BD35"/>
      <c r="BG35" s="37"/>
    </row>
    <row r="36" spans="1:59" x14ac:dyDescent="0.25">
      <c r="A36" s="6"/>
      <c r="B36" s="1" t="s">
        <v>29</v>
      </c>
      <c r="C36" s="81">
        <v>42454</v>
      </c>
      <c r="D36" s="81"/>
      <c r="E36" s="3"/>
      <c r="G36" s="2"/>
      <c r="H36" s="14"/>
      <c r="I36" s="159"/>
      <c r="J36" s="147"/>
      <c r="K36" s="258"/>
      <c r="L36">
        <v>6</v>
      </c>
      <c r="M36" s="13">
        <v>6.15</v>
      </c>
      <c r="N36" s="2"/>
      <c r="O36" s="14">
        <v>0.21041666666666667</v>
      </c>
      <c r="P36" s="159">
        <v>143</v>
      </c>
      <c r="Q36" s="147">
        <v>140</v>
      </c>
      <c r="R36" s="26">
        <v>2.1562499999999998E-2</v>
      </c>
      <c r="S36" s="223"/>
      <c r="T36" s="26"/>
      <c r="W36" s="2"/>
      <c r="X36" s="14"/>
      <c r="Y36" s="159"/>
      <c r="Z36" s="147"/>
      <c r="AA36" s="233"/>
      <c r="AB36">
        <v>7</v>
      </c>
      <c r="AC36" s="2">
        <v>0.16388888888888889</v>
      </c>
      <c r="AD36" s="14">
        <v>0.16805555555555554</v>
      </c>
      <c r="AE36" s="159">
        <v>170</v>
      </c>
      <c r="AF36" s="147">
        <v>165</v>
      </c>
      <c r="AG36" s="233">
        <v>1.9641203703703706E-2</v>
      </c>
      <c r="AH36" s="13">
        <f t="shared" si="0"/>
        <v>13.15</v>
      </c>
      <c r="AI36" s="87">
        <f t="shared" si="1"/>
        <v>13</v>
      </c>
      <c r="AJ36" s="27">
        <f t="shared" si="2"/>
        <v>0.15000000000000036</v>
      </c>
      <c r="AK36" s="63">
        <f t="shared" si="3"/>
        <v>4.1203703703703701E-2</v>
      </c>
      <c r="AL36" s="59"/>
      <c r="AM36"/>
      <c r="AN36" s="3"/>
      <c r="AV36"/>
      <c r="AZ36"/>
      <c r="BB36"/>
      <c r="BD36"/>
      <c r="BG36" s="37"/>
    </row>
    <row r="37" spans="1:59" x14ac:dyDescent="0.25">
      <c r="A37" s="56"/>
      <c r="B37" s="17" t="s">
        <v>18</v>
      </c>
      <c r="C37" s="85">
        <v>42455</v>
      </c>
      <c r="D37" s="85" t="s">
        <v>294</v>
      </c>
      <c r="E37" s="19">
        <v>28</v>
      </c>
      <c r="F37" s="42">
        <v>43.84</v>
      </c>
      <c r="G37" s="21">
        <v>0.20694444444444446</v>
      </c>
      <c r="H37" s="22">
        <v>0.25</v>
      </c>
      <c r="I37" s="160">
        <v>157</v>
      </c>
      <c r="J37" s="156">
        <v>152</v>
      </c>
      <c r="K37" s="259">
        <v>0.18277777777777779</v>
      </c>
      <c r="L37" s="18"/>
      <c r="M37" s="20"/>
      <c r="N37" s="18"/>
      <c r="O37" s="20"/>
      <c r="P37" s="160"/>
      <c r="Q37" s="156"/>
      <c r="R37" s="18"/>
      <c r="S37" s="224"/>
      <c r="T37" s="84"/>
      <c r="U37" s="31"/>
      <c r="V37" s="42"/>
      <c r="W37" s="18"/>
      <c r="X37" s="20"/>
      <c r="Y37" s="160"/>
      <c r="Z37" s="156"/>
      <c r="AA37" s="265"/>
      <c r="AB37" s="18"/>
      <c r="AC37" s="18"/>
      <c r="AD37" s="20"/>
      <c r="AE37" s="160"/>
      <c r="AF37" s="156"/>
      <c r="AG37" s="265"/>
      <c r="AH37" s="20">
        <f t="shared" si="0"/>
        <v>43.84</v>
      </c>
      <c r="AI37" s="88">
        <f t="shared" si="1"/>
        <v>28</v>
      </c>
      <c r="AJ37" s="34">
        <f t="shared" si="2"/>
        <v>15.840000000000003</v>
      </c>
      <c r="AK37" s="58">
        <f t="shared" si="3"/>
        <v>0.18277777777777779</v>
      </c>
      <c r="AL37" s="57">
        <f>SUM(AH32:AH37)</f>
        <v>104.72999999999999</v>
      </c>
      <c r="AM37" s="21">
        <f>SUM(AK14:AK37)</f>
        <v>1.307048611111111</v>
      </c>
      <c r="AN37" s="19"/>
      <c r="AO37" s="36"/>
      <c r="AP37" s="18"/>
      <c r="AQ37" s="36"/>
      <c r="AR37" s="18"/>
      <c r="AS37" s="36"/>
      <c r="AT37" s="18"/>
      <c r="AU37" s="36"/>
      <c r="AV37" s="18"/>
      <c r="AW37" s="36"/>
      <c r="AX37" s="18"/>
      <c r="AY37" s="36"/>
      <c r="AZ37" s="18"/>
      <c r="BA37" s="36"/>
      <c r="BB37" s="18"/>
      <c r="BC37" s="36"/>
      <c r="BD37" s="18"/>
      <c r="BE37" s="36"/>
      <c r="BF37" s="18"/>
      <c r="BG37" s="38"/>
    </row>
    <row r="38" spans="1:59" x14ac:dyDescent="0.25">
      <c r="A38" s="10"/>
      <c r="B38" s="1" t="s">
        <v>0</v>
      </c>
      <c r="C38" s="81">
        <v>42457</v>
      </c>
      <c r="D38" s="81"/>
      <c r="E38" s="3">
        <v>10</v>
      </c>
      <c r="F38" s="54">
        <v>10.07</v>
      </c>
      <c r="G38" s="2"/>
      <c r="H38" s="52">
        <v>0.21597222222222223</v>
      </c>
      <c r="I38" s="159">
        <v>129</v>
      </c>
      <c r="J38" s="157">
        <v>137</v>
      </c>
      <c r="K38" s="258">
        <v>3.6215277777777777E-2</v>
      </c>
      <c r="L38" s="11"/>
      <c r="M38" s="50"/>
      <c r="N38" s="51"/>
      <c r="O38" s="52"/>
      <c r="P38" s="161"/>
      <c r="Q38" s="157"/>
      <c r="R38" s="26"/>
      <c r="S38" s="223"/>
      <c r="T38" s="26"/>
      <c r="U38" s="53"/>
      <c r="V38" s="54"/>
      <c r="W38" s="51"/>
      <c r="X38" s="52"/>
      <c r="Y38" s="161"/>
      <c r="Z38" s="157"/>
      <c r="AA38" s="233"/>
      <c r="AB38" s="11"/>
      <c r="AC38" s="11"/>
      <c r="AD38" s="50"/>
      <c r="AE38" s="161"/>
      <c r="AF38" s="157"/>
      <c r="AG38" s="263"/>
      <c r="AH38" s="13">
        <f t="shared" si="0"/>
        <v>10.07</v>
      </c>
      <c r="AI38" s="87">
        <f t="shared" si="1"/>
        <v>10</v>
      </c>
      <c r="AJ38" s="27">
        <f t="shared" si="2"/>
        <v>7.0000000000000284E-2</v>
      </c>
      <c r="AK38" s="63">
        <f t="shared" si="3"/>
        <v>3.6215277777777777E-2</v>
      </c>
      <c r="AL38" s="59"/>
      <c r="AM38" s="51"/>
      <c r="AN38" s="3"/>
      <c r="AO38" s="9">
        <f>$AN$2-AN38</f>
        <v>80.7</v>
      </c>
      <c r="AQ38" s="9">
        <f>$AP$2-AP38</f>
        <v>92</v>
      </c>
      <c r="AS38" s="9">
        <f>$AR$2-AR38</f>
        <v>95</v>
      </c>
      <c r="AU38" s="9">
        <f>$AT$2-AT38</f>
        <v>98</v>
      </c>
      <c r="AV38"/>
      <c r="AW38" s="9">
        <f>$AV$2-AV38</f>
        <v>58</v>
      </c>
      <c r="AY38" s="9">
        <f>$AX$2-AX38</f>
        <v>58</v>
      </c>
      <c r="AZ38"/>
      <c r="BA38" s="9">
        <f>$AZ$2-AZ38</f>
        <v>41</v>
      </c>
      <c r="BB38"/>
      <c r="BC38" s="9">
        <f>$BB$2-BB38</f>
        <v>41</v>
      </c>
      <c r="BD38"/>
      <c r="BE38" s="9">
        <f>$BD$2-BD38</f>
        <v>30</v>
      </c>
      <c r="BG38" s="37">
        <f>$BF$2-BF38</f>
        <v>30</v>
      </c>
    </row>
    <row r="39" spans="1:59" x14ac:dyDescent="0.25">
      <c r="A39" s="10"/>
      <c r="B39" s="1" t="s">
        <v>15</v>
      </c>
      <c r="C39" s="81">
        <v>42459</v>
      </c>
      <c r="D39" s="81"/>
      <c r="E39" s="3"/>
      <c r="F39" s="54"/>
      <c r="G39" s="2"/>
      <c r="H39" s="52"/>
      <c r="I39" s="161"/>
      <c r="J39" s="157"/>
      <c r="K39" s="258"/>
      <c r="L39" s="11">
        <v>6</v>
      </c>
      <c r="M39" s="50">
        <v>4.01</v>
      </c>
      <c r="N39" s="11"/>
      <c r="O39" s="52">
        <v>0.21805555555555556</v>
      </c>
      <c r="P39" s="161">
        <v>143</v>
      </c>
      <c r="Q39" s="157">
        <v>143</v>
      </c>
      <c r="R39" s="26">
        <v>1.4560185185185183E-2</v>
      </c>
      <c r="S39" s="223">
        <v>2.81</v>
      </c>
      <c r="T39" s="26">
        <v>1.3773148148148147E-2</v>
      </c>
      <c r="U39" s="53" t="s">
        <v>203</v>
      </c>
      <c r="V39" s="54">
        <v>7</v>
      </c>
      <c r="W39" s="2">
        <v>0.15208333333333332</v>
      </c>
      <c r="X39" s="14">
        <v>0.15694444444444444</v>
      </c>
      <c r="Y39" s="159">
        <v>185</v>
      </c>
      <c r="Z39" s="157">
        <v>165</v>
      </c>
      <c r="AA39" s="233">
        <v>1.832175925925926E-2</v>
      </c>
      <c r="AB39" s="11"/>
      <c r="AC39" s="11"/>
      <c r="AD39" s="50"/>
      <c r="AE39" s="161"/>
      <c r="AF39" s="157"/>
      <c r="AG39" s="263"/>
      <c r="AH39" s="13">
        <f t="shared" si="0"/>
        <v>13.82</v>
      </c>
      <c r="AI39" s="87">
        <f t="shared" si="1"/>
        <v>15.81</v>
      </c>
      <c r="AJ39" s="27">
        <f t="shared" si="2"/>
        <v>-1.9900000000000002</v>
      </c>
      <c r="AK39" s="63">
        <f t="shared" si="3"/>
        <v>4.6655092592592588E-2</v>
      </c>
      <c r="AL39" s="59"/>
      <c r="AM39" s="51"/>
      <c r="AN39" s="3"/>
      <c r="AV39"/>
      <c r="AZ39"/>
      <c r="BB39"/>
      <c r="BD39"/>
      <c r="BG39" s="37"/>
    </row>
    <row r="40" spans="1:59" x14ac:dyDescent="0.25">
      <c r="A40" s="10">
        <v>13</v>
      </c>
      <c r="B40" s="1" t="s">
        <v>26</v>
      </c>
      <c r="C40" s="81">
        <v>42460</v>
      </c>
      <c r="D40" s="81"/>
      <c r="E40" s="3">
        <v>10</v>
      </c>
      <c r="F40" s="54">
        <v>10.029999999999999</v>
      </c>
      <c r="G40" s="51"/>
      <c r="H40" s="52">
        <v>0.22222222222222221</v>
      </c>
      <c r="I40" s="159">
        <v>129</v>
      </c>
      <c r="J40" s="157">
        <v>141</v>
      </c>
      <c r="K40" s="258">
        <v>3.7118055555555557E-2</v>
      </c>
      <c r="L40" s="11"/>
      <c r="M40" s="50"/>
      <c r="N40" s="2"/>
      <c r="O40" s="52"/>
      <c r="P40" s="161"/>
      <c r="Q40" s="157"/>
      <c r="R40" s="26"/>
      <c r="S40" s="223"/>
      <c r="T40" s="26"/>
      <c r="U40" s="53"/>
      <c r="V40" s="54"/>
      <c r="W40" s="11"/>
      <c r="X40" s="50"/>
      <c r="Y40" s="161"/>
      <c r="Z40" s="157"/>
      <c r="AA40" s="263"/>
      <c r="AB40" s="11"/>
      <c r="AC40" s="11"/>
      <c r="AD40" s="52"/>
      <c r="AE40" s="161"/>
      <c r="AF40" s="157"/>
      <c r="AG40" s="233"/>
      <c r="AH40" s="13">
        <f t="shared" si="0"/>
        <v>10.029999999999999</v>
      </c>
      <c r="AI40" s="87">
        <f t="shared" si="1"/>
        <v>10</v>
      </c>
      <c r="AJ40" s="27">
        <f t="shared" si="2"/>
        <v>2.9999999999999361E-2</v>
      </c>
      <c r="AK40" s="63">
        <f t="shared" si="3"/>
        <v>3.7118055555555557E-2</v>
      </c>
      <c r="AL40" s="59"/>
      <c r="AM40" s="51"/>
      <c r="AN40" s="3"/>
      <c r="AO40" s="55"/>
      <c r="AP40" s="11"/>
      <c r="AQ40" s="55"/>
      <c r="AR40" s="11"/>
      <c r="AS40" s="55"/>
      <c r="AT40" s="11"/>
      <c r="AU40" s="55"/>
      <c r="AV40" s="11"/>
      <c r="AW40" s="55"/>
      <c r="AX40" s="11"/>
      <c r="AY40" s="55"/>
      <c r="AZ40" s="11"/>
      <c r="BA40" s="55"/>
      <c r="BB40" s="11"/>
      <c r="BC40" s="55"/>
      <c r="BD40" s="11"/>
      <c r="BE40" s="55"/>
      <c r="BF40" s="11"/>
      <c r="BG40" s="37"/>
    </row>
    <row r="41" spans="1:59" x14ac:dyDescent="0.25">
      <c r="A41" s="10"/>
      <c r="B41" s="1" t="s">
        <v>24</v>
      </c>
      <c r="C41" s="81">
        <v>42458</v>
      </c>
      <c r="D41" s="81"/>
      <c r="E41" s="3">
        <v>10</v>
      </c>
      <c r="F41" s="54">
        <v>10.19</v>
      </c>
      <c r="G41" s="2">
        <v>0.20694444444444446</v>
      </c>
      <c r="H41" s="52">
        <v>0.19583333333333333</v>
      </c>
      <c r="I41" s="161">
        <v>143</v>
      </c>
      <c r="J41" s="157">
        <v>141</v>
      </c>
      <c r="K41" s="258">
        <v>3.3240740740740744E-2</v>
      </c>
      <c r="L41" s="11"/>
      <c r="M41" s="50"/>
      <c r="N41" s="2"/>
      <c r="O41" s="52"/>
      <c r="P41" s="161"/>
      <c r="Q41" s="157"/>
      <c r="R41" s="26"/>
      <c r="S41" s="223"/>
      <c r="T41" s="26"/>
      <c r="U41" s="53"/>
      <c r="V41" s="54"/>
      <c r="W41" s="11"/>
      <c r="X41" s="50"/>
      <c r="Y41" s="161"/>
      <c r="Z41" s="157"/>
      <c r="AA41" s="263"/>
      <c r="AB41" s="11"/>
      <c r="AC41" s="11"/>
      <c r="AD41" s="52"/>
      <c r="AE41" s="161"/>
      <c r="AF41" s="157"/>
      <c r="AG41" s="233"/>
      <c r="AH41" s="13">
        <f t="shared" si="0"/>
        <v>10.19</v>
      </c>
      <c r="AI41" s="87">
        <f t="shared" si="1"/>
        <v>10</v>
      </c>
      <c r="AJ41" s="27">
        <f t="shared" si="2"/>
        <v>0.1899999999999995</v>
      </c>
      <c r="AK41" s="63">
        <f t="shared" si="3"/>
        <v>3.3240740740740744E-2</v>
      </c>
      <c r="AL41" s="59"/>
      <c r="AM41" s="51"/>
      <c r="AN41" s="3"/>
      <c r="AO41" s="55"/>
      <c r="AP41" s="11"/>
      <c r="AQ41" s="55"/>
      <c r="AR41" s="11"/>
      <c r="AS41" s="55"/>
      <c r="AT41" s="11"/>
      <c r="AU41" s="55"/>
      <c r="AV41" s="11"/>
      <c r="AW41" s="55"/>
      <c r="AX41" s="11"/>
      <c r="AY41" s="55"/>
      <c r="AZ41" s="11"/>
      <c r="BA41" s="55"/>
      <c r="BB41" s="11"/>
      <c r="BC41" s="55"/>
      <c r="BD41" s="11"/>
      <c r="BE41" s="55"/>
      <c r="BF41" s="11"/>
      <c r="BG41" s="37"/>
    </row>
    <row r="42" spans="1:59" x14ac:dyDescent="0.25">
      <c r="A42" s="10"/>
      <c r="B42" s="1" t="s">
        <v>29</v>
      </c>
      <c r="C42" s="81">
        <v>42461</v>
      </c>
      <c r="D42" s="81"/>
      <c r="E42" s="3">
        <v>18</v>
      </c>
      <c r="F42" s="54">
        <v>18.95</v>
      </c>
      <c r="G42" s="2">
        <v>0.20694444444444446</v>
      </c>
      <c r="H42" s="52">
        <v>0.20069444444444443</v>
      </c>
      <c r="I42" s="161">
        <v>143</v>
      </c>
      <c r="J42" s="157">
        <v>145</v>
      </c>
      <c r="K42" s="258">
        <v>6.3472222222222222E-2</v>
      </c>
      <c r="L42" s="11"/>
      <c r="M42" s="50"/>
      <c r="N42" s="2"/>
      <c r="O42" s="52"/>
      <c r="P42" s="161"/>
      <c r="Q42" s="157"/>
      <c r="R42" s="26"/>
      <c r="S42" s="223"/>
      <c r="T42" s="26"/>
      <c r="U42" s="53"/>
      <c r="V42" s="54"/>
      <c r="W42" s="11"/>
      <c r="X42" s="50"/>
      <c r="Y42" s="161"/>
      <c r="Z42" s="157"/>
      <c r="AA42" s="263"/>
      <c r="AB42" s="11"/>
      <c r="AC42" s="11"/>
      <c r="AD42" s="52"/>
      <c r="AE42" s="161"/>
      <c r="AF42" s="157"/>
      <c r="AG42" s="233"/>
      <c r="AH42" s="13">
        <f t="shared" si="0"/>
        <v>18.95</v>
      </c>
      <c r="AI42" s="87">
        <f t="shared" si="1"/>
        <v>18</v>
      </c>
      <c r="AJ42" s="27">
        <f t="shared" si="2"/>
        <v>0.94999999999999929</v>
      </c>
      <c r="AK42" s="63">
        <f t="shared" si="3"/>
        <v>6.3472222222222222E-2</v>
      </c>
      <c r="AL42" s="59"/>
      <c r="AM42" s="51"/>
      <c r="AN42" s="3"/>
      <c r="AO42" s="55"/>
      <c r="AP42" s="11"/>
      <c r="AQ42" s="55"/>
      <c r="AR42" s="11"/>
      <c r="AS42" s="55"/>
      <c r="AT42" s="11"/>
      <c r="AU42" s="55"/>
      <c r="AV42" s="11"/>
      <c r="AW42" s="55"/>
      <c r="AX42" s="11"/>
      <c r="AY42" s="55"/>
      <c r="AZ42" s="11"/>
      <c r="BA42" s="55"/>
      <c r="BB42" s="11"/>
      <c r="BC42" s="55"/>
      <c r="BD42" s="11"/>
      <c r="BE42" s="55"/>
      <c r="BF42" s="11"/>
      <c r="BG42" s="37"/>
    </row>
    <row r="43" spans="1:59" x14ac:dyDescent="0.25">
      <c r="A43" s="56"/>
      <c r="B43" s="17" t="s">
        <v>27</v>
      </c>
      <c r="C43" s="85">
        <v>42463</v>
      </c>
      <c r="D43" s="85"/>
      <c r="E43" s="19">
        <v>28</v>
      </c>
      <c r="F43" s="42"/>
      <c r="G43" s="21">
        <v>0.20694444444444446</v>
      </c>
      <c r="H43" s="22"/>
      <c r="I43" s="160">
        <v>157</v>
      </c>
      <c r="J43" s="156"/>
      <c r="K43" s="259"/>
      <c r="L43" s="18"/>
      <c r="M43" s="20"/>
      <c r="N43" s="18"/>
      <c r="O43" s="20"/>
      <c r="P43" s="160"/>
      <c r="Q43" s="156"/>
      <c r="R43" s="18"/>
      <c r="S43" s="224"/>
      <c r="T43" s="84"/>
      <c r="U43" s="31"/>
      <c r="V43" s="42"/>
      <c r="W43" s="18"/>
      <c r="X43" s="20"/>
      <c r="Y43" s="160"/>
      <c r="Z43" s="156"/>
      <c r="AA43" s="265"/>
      <c r="AB43" s="18"/>
      <c r="AC43" s="18"/>
      <c r="AD43" s="20"/>
      <c r="AE43" s="160"/>
      <c r="AF43" s="156"/>
      <c r="AG43" s="265"/>
      <c r="AH43" s="20">
        <f t="shared" si="0"/>
        <v>0</v>
      </c>
      <c r="AI43" s="88">
        <f t="shared" si="1"/>
        <v>28</v>
      </c>
      <c r="AJ43" s="34">
        <f t="shared" si="2"/>
        <v>-28</v>
      </c>
      <c r="AK43" s="58">
        <f t="shared" si="3"/>
        <v>0</v>
      </c>
      <c r="AL43" s="57">
        <f>SUM(AH38:AH43)</f>
        <v>63.06</v>
      </c>
      <c r="AM43" s="21">
        <f>SUM(AK38:AK43)</f>
        <v>0.2167013888888889</v>
      </c>
      <c r="AN43" s="19"/>
      <c r="AO43" s="36"/>
      <c r="AP43" s="18"/>
      <c r="AQ43" s="36"/>
      <c r="AR43" s="18"/>
      <c r="AS43" s="36"/>
      <c r="AT43" s="18"/>
      <c r="AU43" s="36"/>
      <c r="AV43" s="18"/>
      <c r="AW43" s="36"/>
      <c r="AX43" s="18"/>
      <c r="AY43" s="36"/>
      <c r="AZ43" s="18"/>
      <c r="BA43" s="36"/>
      <c r="BB43" s="18"/>
      <c r="BC43" s="36"/>
      <c r="BD43" s="18"/>
      <c r="BE43" s="36"/>
      <c r="BF43" s="18"/>
      <c r="BG43" s="38"/>
    </row>
    <row r="44" spans="1:59" x14ac:dyDescent="0.25">
      <c r="A44" s="10"/>
      <c r="B44" s="1" t="s">
        <v>0</v>
      </c>
      <c r="C44" s="81">
        <v>42464</v>
      </c>
      <c r="D44" s="81"/>
      <c r="E44" s="3">
        <v>10</v>
      </c>
      <c r="F44" s="54"/>
      <c r="G44" s="2"/>
      <c r="H44" s="52"/>
      <c r="I44" s="159">
        <v>129</v>
      </c>
      <c r="J44" s="175"/>
      <c r="K44" s="258"/>
      <c r="L44" s="11"/>
      <c r="M44" s="50"/>
      <c r="N44" s="51"/>
      <c r="O44" s="52"/>
      <c r="P44" s="161"/>
      <c r="Q44" s="157"/>
      <c r="R44" s="26"/>
      <c r="S44" s="223"/>
      <c r="T44" s="26"/>
      <c r="U44" s="53"/>
      <c r="V44" s="54"/>
      <c r="W44" s="51"/>
      <c r="X44" s="52"/>
      <c r="Y44" s="161"/>
      <c r="Z44" s="157"/>
      <c r="AA44" s="233"/>
      <c r="AB44" s="11"/>
      <c r="AC44" s="11"/>
      <c r="AD44" s="50"/>
      <c r="AE44" s="161"/>
      <c r="AF44" s="157"/>
      <c r="AG44" s="263"/>
      <c r="AH44" s="13">
        <f t="shared" si="0"/>
        <v>0</v>
      </c>
      <c r="AI44" s="87">
        <f t="shared" si="1"/>
        <v>10</v>
      </c>
      <c r="AJ44" s="27">
        <f t="shared" si="2"/>
        <v>-10</v>
      </c>
      <c r="AK44" s="63">
        <f t="shared" si="3"/>
        <v>0</v>
      </c>
      <c r="AL44" s="59"/>
      <c r="AM44" s="51"/>
      <c r="AN44" s="3"/>
      <c r="AO44" s="9">
        <f>$AN$2-AN44</f>
        <v>80.7</v>
      </c>
      <c r="AQ44" s="9">
        <f>$AP$2-AP44</f>
        <v>92</v>
      </c>
      <c r="AS44" s="9">
        <f>$AR$2-AR44</f>
        <v>95</v>
      </c>
      <c r="AU44" s="9">
        <f>$AT$2-AT44</f>
        <v>98</v>
      </c>
      <c r="AV44"/>
      <c r="AW44" s="9">
        <f>$AV$2-AV44</f>
        <v>58</v>
      </c>
      <c r="AY44" s="9">
        <f>$AX$2-AX44</f>
        <v>58</v>
      </c>
      <c r="AZ44"/>
      <c r="BA44" s="9">
        <f>$AZ$2-AZ44</f>
        <v>41</v>
      </c>
      <c r="BB44"/>
      <c r="BC44" s="9">
        <f>$BB$2-BB44</f>
        <v>41</v>
      </c>
      <c r="BD44"/>
      <c r="BE44" s="9">
        <f>$BD$2-BD44</f>
        <v>30</v>
      </c>
      <c r="BG44" s="37">
        <f>$BF$2-BF44</f>
        <v>30</v>
      </c>
    </row>
    <row r="45" spans="1:59" x14ac:dyDescent="0.25">
      <c r="A45" s="10"/>
      <c r="B45" s="1" t="s">
        <v>24</v>
      </c>
      <c r="C45" s="81">
        <v>42465</v>
      </c>
      <c r="D45" s="81"/>
      <c r="E45" s="3">
        <v>10</v>
      </c>
      <c r="F45" s="54"/>
      <c r="G45" s="2">
        <v>0.20694444444444446</v>
      </c>
      <c r="H45" s="52"/>
      <c r="I45" s="161">
        <v>143</v>
      </c>
      <c r="J45" s="157"/>
      <c r="K45" s="258"/>
      <c r="L45" s="11"/>
      <c r="M45" s="50"/>
      <c r="N45" s="11"/>
      <c r="O45" s="52"/>
      <c r="P45" s="161"/>
      <c r="Q45" s="157"/>
      <c r="R45" s="26"/>
      <c r="S45" s="223"/>
      <c r="T45" s="26"/>
      <c r="U45" s="53"/>
      <c r="V45" s="54"/>
      <c r="W45" s="11"/>
      <c r="X45" s="50"/>
      <c r="Y45" s="161"/>
      <c r="Z45" s="157"/>
      <c r="AA45" s="263"/>
      <c r="AB45" s="11"/>
      <c r="AC45" s="51"/>
      <c r="AD45" s="52"/>
      <c r="AE45" s="161"/>
      <c r="AF45" s="157"/>
      <c r="AG45" s="233"/>
      <c r="AH45" s="13">
        <f t="shared" si="0"/>
        <v>0</v>
      </c>
      <c r="AI45" s="87">
        <f t="shared" si="1"/>
        <v>10</v>
      </c>
      <c r="AJ45" s="27">
        <f t="shared" si="2"/>
        <v>-10</v>
      </c>
      <c r="AK45" s="63">
        <f t="shared" si="3"/>
        <v>0</v>
      </c>
      <c r="AL45" s="59"/>
      <c r="AM45" s="51"/>
      <c r="AN45" s="3"/>
      <c r="AV45"/>
      <c r="AZ45"/>
      <c r="BB45"/>
      <c r="BD45"/>
      <c r="BG45" s="37"/>
    </row>
    <row r="46" spans="1:59" x14ac:dyDescent="0.25">
      <c r="A46" s="10">
        <v>14</v>
      </c>
      <c r="B46" s="1" t="s">
        <v>15</v>
      </c>
      <c r="C46" s="81">
        <v>42466</v>
      </c>
      <c r="D46" s="81"/>
      <c r="E46" s="3"/>
      <c r="F46" s="54"/>
      <c r="G46" s="51"/>
      <c r="H46" s="52"/>
      <c r="I46" s="161"/>
      <c r="J46" s="157"/>
      <c r="K46" s="258"/>
      <c r="L46" s="11">
        <v>6</v>
      </c>
      <c r="M46" s="50"/>
      <c r="N46" s="2"/>
      <c r="O46" s="52"/>
      <c r="P46" s="161">
        <v>143</v>
      </c>
      <c r="Q46" s="157"/>
      <c r="R46" s="26"/>
      <c r="S46" s="223"/>
      <c r="T46" s="26"/>
      <c r="U46" s="53"/>
      <c r="V46" s="54"/>
      <c r="W46" s="11"/>
      <c r="X46" s="50"/>
      <c r="Y46" s="161"/>
      <c r="Z46" s="157"/>
      <c r="AA46" s="263"/>
      <c r="AB46" s="11">
        <v>5</v>
      </c>
      <c r="AC46" s="11"/>
      <c r="AD46" s="52"/>
      <c r="AE46" s="161">
        <v>184</v>
      </c>
      <c r="AF46" s="157"/>
      <c r="AG46" s="233"/>
      <c r="AH46" s="13">
        <f t="shared" si="0"/>
        <v>5</v>
      </c>
      <c r="AI46" s="87">
        <f t="shared" si="1"/>
        <v>11</v>
      </c>
      <c r="AJ46" s="27">
        <f t="shared" si="2"/>
        <v>-6</v>
      </c>
      <c r="AK46" s="63">
        <f t="shared" si="3"/>
        <v>0</v>
      </c>
      <c r="AL46" s="59"/>
      <c r="AM46" s="51"/>
      <c r="AN46" s="3"/>
      <c r="AO46" s="55"/>
      <c r="AP46" s="11"/>
      <c r="AQ46" s="55"/>
      <c r="AR46" s="11"/>
      <c r="AS46" s="55"/>
      <c r="AT46" s="11"/>
      <c r="AU46" s="55"/>
      <c r="AV46" s="11"/>
      <c r="AW46" s="55"/>
      <c r="AX46" s="11"/>
      <c r="AY46" s="55"/>
      <c r="AZ46" s="11"/>
      <c r="BA46" s="55"/>
      <c r="BB46" s="11"/>
      <c r="BC46" s="55"/>
      <c r="BD46" s="11"/>
      <c r="BE46" s="55"/>
      <c r="BF46" s="11"/>
      <c r="BG46" s="37"/>
    </row>
    <row r="47" spans="1:59" x14ac:dyDescent="0.25">
      <c r="A47" s="10"/>
      <c r="B47" s="1" t="s">
        <v>26</v>
      </c>
      <c r="C47" s="81">
        <v>42467</v>
      </c>
      <c r="D47" s="81"/>
      <c r="E47" s="3">
        <v>10</v>
      </c>
      <c r="F47" s="54"/>
      <c r="G47" s="2">
        <v>0.20694444444444446</v>
      </c>
      <c r="H47" s="52"/>
      <c r="I47" s="161">
        <v>143</v>
      </c>
      <c r="J47" s="157"/>
      <c r="K47" s="258"/>
      <c r="L47" s="11"/>
      <c r="M47" s="50"/>
      <c r="N47" s="2"/>
      <c r="O47" s="52"/>
      <c r="P47" s="161"/>
      <c r="Q47" s="157"/>
      <c r="R47" s="26"/>
      <c r="S47" s="223"/>
      <c r="T47" s="26"/>
      <c r="U47" s="53"/>
      <c r="V47" s="54"/>
      <c r="W47" s="11"/>
      <c r="X47" s="50"/>
      <c r="Y47" s="161"/>
      <c r="Z47" s="157"/>
      <c r="AA47" s="263"/>
      <c r="AB47" s="11"/>
      <c r="AC47" s="11"/>
      <c r="AD47" s="52"/>
      <c r="AE47" s="161"/>
      <c r="AF47" s="157"/>
      <c r="AG47" s="233"/>
      <c r="AH47" s="13">
        <f t="shared" si="0"/>
        <v>0</v>
      </c>
      <c r="AI47" s="87">
        <f t="shared" si="1"/>
        <v>10</v>
      </c>
      <c r="AJ47" s="27">
        <f t="shared" si="2"/>
        <v>-10</v>
      </c>
      <c r="AK47" s="63">
        <f t="shared" si="3"/>
        <v>0</v>
      </c>
      <c r="AL47" s="59"/>
      <c r="AM47" s="51"/>
      <c r="AN47" s="3"/>
      <c r="AO47" s="55"/>
      <c r="AP47" s="11"/>
      <c r="AQ47" s="55"/>
      <c r="AR47" s="11"/>
      <c r="AS47" s="55"/>
      <c r="AT47" s="11"/>
      <c r="AU47" s="55"/>
      <c r="AV47" s="11"/>
      <c r="AW47" s="55"/>
      <c r="AX47" s="11"/>
      <c r="AY47" s="55"/>
      <c r="AZ47" s="11"/>
      <c r="BA47" s="55"/>
      <c r="BB47" s="11"/>
      <c r="BC47" s="55"/>
      <c r="BD47" s="11"/>
      <c r="BE47" s="55"/>
      <c r="BF47" s="11"/>
      <c r="BG47" s="37"/>
    </row>
    <row r="48" spans="1:59" x14ac:dyDescent="0.25">
      <c r="A48" s="10"/>
      <c r="B48" s="1" t="s">
        <v>29</v>
      </c>
      <c r="C48" s="81">
        <v>42468</v>
      </c>
      <c r="D48" s="81"/>
      <c r="E48" s="3">
        <v>12</v>
      </c>
      <c r="F48" s="54"/>
      <c r="G48" s="2">
        <v>0.20694444444444446</v>
      </c>
      <c r="H48" s="52"/>
      <c r="I48" s="161">
        <v>143</v>
      </c>
      <c r="J48" s="157"/>
      <c r="K48" s="258"/>
      <c r="L48" s="11"/>
      <c r="M48" s="50"/>
      <c r="N48" s="2"/>
      <c r="O48" s="52"/>
      <c r="P48" s="161"/>
      <c r="Q48" s="157"/>
      <c r="R48" s="26"/>
      <c r="S48" s="223"/>
      <c r="T48" s="26"/>
      <c r="U48" s="53"/>
      <c r="V48" s="54"/>
      <c r="W48" s="11"/>
      <c r="X48" s="50"/>
      <c r="Y48" s="161"/>
      <c r="Z48" s="157"/>
      <c r="AA48" s="263"/>
      <c r="AB48" s="11"/>
      <c r="AC48" s="11"/>
      <c r="AD48" s="52"/>
      <c r="AE48" s="161"/>
      <c r="AF48" s="157"/>
      <c r="AG48" s="233"/>
      <c r="AH48" s="13">
        <f t="shared" si="0"/>
        <v>0</v>
      </c>
      <c r="AI48" s="87">
        <f t="shared" si="1"/>
        <v>12</v>
      </c>
      <c r="AJ48" s="27">
        <f t="shared" si="2"/>
        <v>-12</v>
      </c>
      <c r="AK48" s="63">
        <f t="shared" si="3"/>
        <v>0</v>
      </c>
      <c r="AL48" s="59"/>
      <c r="AM48" s="51"/>
      <c r="AN48" s="3"/>
      <c r="AO48" s="55"/>
      <c r="AP48" s="11"/>
      <c r="AQ48" s="55"/>
      <c r="AR48" s="11"/>
      <c r="AS48" s="55"/>
      <c r="AT48" s="11"/>
      <c r="AU48" s="55"/>
      <c r="AV48" s="11"/>
      <c r="AW48" s="55"/>
      <c r="AX48" s="11"/>
      <c r="AY48" s="55"/>
      <c r="AZ48" s="11"/>
      <c r="BA48" s="55"/>
      <c r="BB48" s="11"/>
      <c r="BC48" s="55"/>
      <c r="BD48" s="11"/>
      <c r="BE48" s="55"/>
      <c r="BF48" s="11"/>
      <c r="BG48" s="37"/>
    </row>
    <row r="49" spans="1:59" x14ac:dyDescent="0.25">
      <c r="A49" s="56"/>
      <c r="B49" s="17" t="s">
        <v>27</v>
      </c>
      <c r="C49" s="85">
        <v>42470</v>
      </c>
      <c r="D49" s="85" t="s">
        <v>288</v>
      </c>
      <c r="E49" s="19">
        <v>22</v>
      </c>
      <c r="F49" s="42"/>
      <c r="G49" s="21">
        <v>0.20694444444444446</v>
      </c>
      <c r="H49" s="22"/>
      <c r="I49" s="160">
        <v>143</v>
      </c>
      <c r="J49" s="156"/>
      <c r="K49" s="259"/>
      <c r="L49" s="18"/>
      <c r="M49" s="20"/>
      <c r="N49" s="18"/>
      <c r="O49" s="20"/>
      <c r="P49" s="160"/>
      <c r="Q49" s="156"/>
      <c r="R49" s="18"/>
      <c r="S49" s="224"/>
      <c r="T49" s="84"/>
      <c r="U49" s="31"/>
      <c r="V49" s="42"/>
      <c r="W49" s="18"/>
      <c r="X49" s="20"/>
      <c r="Y49" s="160"/>
      <c r="Z49" s="156"/>
      <c r="AA49" s="265"/>
      <c r="AB49" s="18"/>
      <c r="AC49" s="18"/>
      <c r="AD49" s="20"/>
      <c r="AE49" s="160"/>
      <c r="AF49" s="156"/>
      <c r="AG49" s="265"/>
      <c r="AH49" s="20">
        <f t="shared" si="0"/>
        <v>0</v>
      </c>
      <c r="AI49" s="88">
        <f t="shared" si="1"/>
        <v>22</v>
      </c>
      <c r="AJ49" s="34">
        <f t="shared" si="2"/>
        <v>-22</v>
      </c>
      <c r="AK49" s="58">
        <f t="shared" si="3"/>
        <v>0</v>
      </c>
      <c r="AL49" s="57">
        <f>SUM(AH44:AH49)</f>
        <v>5</v>
      </c>
      <c r="AM49" s="21">
        <f>SUM(AK44:AK49)</f>
        <v>0</v>
      </c>
      <c r="AN49" s="19"/>
      <c r="AO49" s="36"/>
      <c r="AP49" s="18"/>
      <c r="AQ49" s="36"/>
      <c r="AR49" s="18"/>
      <c r="AS49" s="36"/>
      <c r="AT49" s="18"/>
      <c r="AU49" s="36"/>
      <c r="AV49" s="18"/>
      <c r="AW49" s="36"/>
      <c r="AX49" s="18"/>
      <c r="AY49" s="36"/>
      <c r="AZ49" s="18"/>
      <c r="BA49" s="36"/>
      <c r="BB49" s="18"/>
      <c r="BC49" s="36"/>
      <c r="BD49" s="18"/>
      <c r="BE49" s="36"/>
      <c r="BF49" s="18"/>
      <c r="BG49" s="38"/>
    </row>
    <row r="50" spans="1:59" x14ac:dyDescent="0.25">
      <c r="A50" s="10"/>
      <c r="B50" s="1" t="s">
        <v>0</v>
      </c>
      <c r="C50" s="81">
        <v>42471</v>
      </c>
      <c r="D50" s="81"/>
      <c r="E50" s="3">
        <v>10</v>
      </c>
      <c r="F50" s="54"/>
      <c r="G50" s="51"/>
      <c r="H50" s="52"/>
      <c r="I50" s="159">
        <v>129</v>
      </c>
      <c r="J50" s="157"/>
      <c r="K50" s="258"/>
      <c r="L50" s="11"/>
      <c r="M50" s="50"/>
      <c r="N50" s="11"/>
      <c r="O50" s="50"/>
      <c r="P50" s="161"/>
      <c r="Q50" s="157"/>
      <c r="R50" s="11"/>
      <c r="S50" s="223"/>
      <c r="T50" s="26"/>
      <c r="U50" s="53"/>
      <c r="V50" s="54"/>
      <c r="W50" s="11"/>
      <c r="X50" s="50"/>
      <c r="Y50" s="161"/>
      <c r="Z50" s="157"/>
      <c r="AA50" s="263"/>
      <c r="AB50" s="11"/>
      <c r="AC50" s="11"/>
      <c r="AD50" s="50"/>
      <c r="AE50" s="161"/>
      <c r="AF50" s="157"/>
      <c r="AG50" s="263"/>
      <c r="AH50" s="13">
        <f t="shared" si="0"/>
        <v>0</v>
      </c>
      <c r="AI50" s="87">
        <f t="shared" si="1"/>
        <v>10</v>
      </c>
      <c r="AJ50" s="27">
        <f t="shared" si="2"/>
        <v>-10</v>
      </c>
      <c r="AK50" s="63">
        <f t="shared" si="3"/>
        <v>0</v>
      </c>
      <c r="AL50" s="59"/>
      <c r="AM50" s="51"/>
      <c r="AN50" s="3"/>
      <c r="AO50" s="9">
        <f>$AN$2-AN50</f>
        <v>80.7</v>
      </c>
      <c r="AQ50" s="9">
        <f>$AP$2-AP50</f>
        <v>92</v>
      </c>
      <c r="AS50" s="9">
        <f>$AR$2-AR50</f>
        <v>95</v>
      </c>
      <c r="AU50" s="9">
        <f>$AT$2-AT50</f>
        <v>98</v>
      </c>
      <c r="AV50"/>
      <c r="AW50" s="9">
        <f>$AV$2-AV50</f>
        <v>58</v>
      </c>
      <c r="AY50" s="9">
        <f>$AX$2-AX50</f>
        <v>58</v>
      </c>
      <c r="AZ50"/>
      <c r="BA50" s="9">
        <f>$AZ$2-AZ50</f>
        <v>41</v>
      </c>
      <c r="BB50"/>
      <c r="BC50" s="9">
        <f>$BB$2-BB50</f>
        <v>41</v>
      </c>
      <c r="BD50"/>
      <c r="BE50" s="9">
        <f>$BD$2-BD50</f>
        <v>30</v>
      </c>
      <c r="BG50" s="37">
        <f>$BF$2-BF50</f>
        <v>30</v>
      </c>
    </row>
    <row r="51" spans="1:59" x14ac:dyDescent="0.25">
      <c r="A51" s="10"/>
      <c r="B51" s="1" t="s">
        <v>24</v>
      </c>
      <c r="C51" s="81">
        <v>42472</v>
      </c>
      <c r="D51" s="81"/>
      <c r="E51" s="3"/>
      <c r="F51" s="54"/>
      <c r="G51" s="51"/>
      <c r="H51" s="52"/>
      <c r="I51" s="161"/>
      <c r="J51" s="157"/>
      <c r="K51" s="258"/>
      <c r="L51" s="11">
        <v>6</v>
      </c>
      <c r="M51" s="50"/>
      <c r="N51" s="51"/>
      <c r="O51" s="52"/>
      <c r="P51" s="161">
        <v>143</v>
      </c>
      <c r="Q51" s="157"/>
      <c r="R51" s="26"/>
      <c r="S51" s="223"/>
      <c r="T51" s="26"/>
      <c r="U51" s="53"/>
      <c r="V51" s="54"/>
      <c r="W51" s="11"/>
      <c r="X51" s="50"/>
      <c r="Y51" s="161"/>
      <c r="Z51" s="157"/>
      <c r="AA51" s="263"/>
      <c r="AB51" s="11">
        <v>8</v>
      </c>
      <c r="AC51" s="2">
        <v>0.16388888888888889</v>
      </c>
      <c r="AD51" s="52"/>
      <c r="AE51" s="161">
        <v>170</v>
      </c>
      <c r="AF51" s="157"/>
      <c r="AG51" s="233"/>
      <c r="AH51" s="13">
        <f t="shared" si="0"/>
        <v>8</v>
      </c>
      <c r="AI51" s="87">
        <f t="shared" si="1"/>
        <v>14</v>
      </c>
      <c r="AJ51" s="27">
        <f t="shared" si="2"/>
        <v>-6</v>
      </c>
      <c r="AK51" s="63">
        <f t="shared" si="3"/>
        <v>0</v>
      </c>
      <c r="AL51" s="59"/>
      <c r="AM51" s="51"/>
      <c r="AN51" s="3"/>
      <c r="AV51"/>
      <c r="AZ51"/>
      <c r="BB51"/>
      <c r="BD51"/>
      <c r="BG51" s="37"/>
    </row>
    <row r="52" spans="1:59" x14ac:dyDescent="0.25">
      <c r="A52" s="10">
        <v>15</v>
      </c>
      <c r="B52" s="1" t="s">
        <v>15</v>
      </c>
      <c r="C52" s="81">
        <v>42473</v>
      </c>
      <c r="D52" s="81"/>
      <c r="E52" s="3">
        <v>10</v>
      </c>
      <c r="F52" s="54"/>
      <c r="G52" s="51"/>
      <c r="H52" s="52"/>
      <c r="I52" s="159">
        <v>129</v>
      </c>
      <c r="J52" s="157"/>
      <c r="K52" s="258"/>
      <c r="L52" s="11"/>
      <c r="M52" s="50"/>
      <c r="N52" s="2"/>
      <c r="O52" s="52"/>
      <c r="P52" s="161"/>
      <c r="Q52" s="157"/>
      <c r="R52" s="26"/>
      <c r="S52" s="223"/>
      <c r="T52" s="26"/>
      <c r="U52" s="53"/>
      <c r="V52" s="54"/>
      <c r="W52" s="51"/>
      <c r="X52" s="52"/>
      <c r="Y52" s="161"/>
      <c r="Z52" s="157"/>
      <c r="AA52" s="233"/>
      <c r="AB52" s="11"/>
      <c r="AC52" s="11"/>
      <c r="AD52" s="50"/>
      <c r="AE52" s="161"/>
      <c r="AF52" s="157"/>
      <c r="AG52" s="263"/>
      <c r="AH52" s="13">
        <f t="shared" si="0"/>
        <v>0</v>
      </c>
      <c r="AI52" s="87">
        <f t="shared" si="1"/>
        <v>10</v>
      </c>
      <c r="AJ52" s="27">
        <f t="shared" si="2"/>
        <v>-10</v>
      </c>
      <c r="AK52" s="63">
        <f t="shared" si="3"/>
        <v>0</v>
      </c>
      <c r="AL52" s="59"/>
      <c r="AM52" s="51"/>
      <c r="AN52" s="3"/>
      <c r="AO52" s="55"/>
      <c r="AP52" s="11"/>
      <c r="AQ52" s="55"/>
      <c r="AR52" s="11"/>
      <c r="AS52" s="55"/>
      <c r="AT52" s="11"/>
      <c r="AU52" s="55"/>
      <c r="AV52" s="11"/>
      <c r="AW52" s="55"/>
      <c r="AX52" s="11"/>
      <c r="AY52" s="55"/>
      <c r="AZ52" s="11"/>
      <c r="BA52" s="55"/>
      <c r="BB52" s="11"/>
      <c r="BC52" s="55"/>
      <c r="BD52" s="11"/>
      <c r="BE52" s="55"/>
      <c r="BF52" s="11"/>
      <c r="BG52" s="37"/>
    </row>
    <row r="53" spans="1:59" x14ac:dyDescent="0.25">
      <c r="A53" s="10"/>
      <c r="B53" s="1" t="s">
        <v>26</v>
      </c>
      <c r="C53" s="81">
        <v>42474</v>
      </c>
      <c r="D53" s="81"/>
      <c r="E53" s="3">
        <v>10</v>
      </c>
      <c r="F53" s="54"/>
      <c r="G53" s="2">
        <v>0.20694444444444446</v>
      </c>
      <c r="H53" s="52"/>
      <c r="I53" s="161">
        <v>143</v>
      </c>
      <c r="J53" s="157"/>
      <c r="K53" s="258"/>
      <c r="L53" s="11"/>
      <c r="M53" s="50"/>
      <c r="N53" s="2"/>
      <c r="O53" s="52"/>
      <c r="P53" s="161"/>
      <c r="Q53" s="157"/>
      <c r="R53" s="26"/>
      <c r="S53" s="223"/>
      <c r="T53" s="26"/>
      <c r="U53" s="53"/>
      <c r="V53" s="54"/>
      <c r="W53" s="51"/>
      <c r="X53" s="52"/>
      <c r="Y53" s="161"/>
      <c r="Z53" s="157"/>
      <c r="AA53" s="233"/>
      <c r="AB53" s="11"/>
      <c r="AC53" s="11"/>
      <c r="AD53" s="50"/>
      <c r="AE53" s="161"/>
      <c r="AF53" s="157"/>
      <c r="AG53" s="263"/>
      <c r="AH53" s="13">
        <f t="shared" si="0"/>
        <v>0</v>
      </c>
      <c r="AI53" s="87">
        <f t="shared" si="1"/>
        <v>10</v>
      </c>
      <c r="AJ53" s="27">
        <f t="shared" si="2"/>
        <v>-10</v>
      </c>
      <c r="AK53" s="63">
        <f t="shared" si="3"/>
        <v>0</v>
      </c>
      <c r="AL53" s="59"/>
      <c r="AM53" s="51"/>
      <c r="AN53" s="3"/>
      <c r="AO53" s="55"/>
      <c r="AP53" s="11"/>
      <c r="AQ53" s="55"/>
      <c r="AR53" s="11"/>
      <c r="AS53" s="55"/>
      <c r="AT53" s="11"/>
      <c r="AU53" s="55"/>
      <c r="AV53" s="11"/>
      <c r="AW53" s="55"/>
      <c r="AX53" s="11"/>
      <c r="AY53" s="55"/>
      <c r="AZ53" s="11"/>
      <c r="BA53" s="55"/>
      <c r="BB53" s="11"/>
      <c r="BC53" s="55"/>
      <c r="BD53" s="11"/>
      <c r="BE53" s="55"/>
      <c r="BF53" s="11"/>
      <c r="BG53" s="37"/>
    </row>
    <row r="54" spans="1:59" x14ac:dyDescent="0.25">
      <c r="A54" s="10"/>
      <c r="B54" s="1" t="s">
        <v>29</v>
      </c>
      <c r="C54" s="81">
        <v>42475</v>
      </c>
      <c r="D54" s="81"/>
      <c r="E54" s="3">
        <v>18</v>
      </c>
      <c r="F54" s="54"/>
      <c r="G54" s="2">
        <v>0.20694444444444446</v>
      </c>
      <c r="H54" s="52"/>
      <c r="I54" s="161">
        <v>143</v>
      </c>
      <c r="J54" s="157"/>
      <c r="K54" s="258"/>
      <c r="L54" s="11"/>
      <c r="M54" s="50"/>
      <c r="N54" s="2"/>
      <c r="O54" s="52"/>
      <c r="P54" s="161"/>
      <c r="Q54" s="157"/>
      <c r="R54" s="26"/>
      <c r="S54" s="223"/>
      <c r="T54" s="26"/>
      <c r="U54" s="53"/>
      <c r="V54" s="54"/>
      <c r="W54" s="51"/>
      <c r="X54" s="52"/>
      <c r="Y54" s="161"/>
      <c r="Z54" s="157"/>
      <c r="AA54" s="233"/>
      <c r="AB54" s="11"/>
      <c r="AC54" s="11"/>
      <c r="AD54" s="50"/>
      <c r="AE54" s="161"/>
      <c r="AF54" s="157"/>
      <c r="AG54" s="263"/>
      <c r="AH54" s="13">
        <f t="shared" si="0"/>
        <v>0</v>
      </c>
      <c r="AI54" s="87">
        <f t="shared" si="1"/>
        <v>18</v>
      </c>
      <c r="AJ54" s="27">
        <f t="shared" si="2"/>
        <v>-18</v>
      </c>
      <c r="AK54" s="63">
        <f t="shared" si="3"/>
        <v>0</v>
      </c>
      <c r="AL54" s="59"/>
      <c r="AM54" s="51"/>
      <c r="AN54" s="3"/>
      <c r="AO54" s="55"/>
      <c r="AP54" s="11"/>
      <c r="AQ54" s="55"/>
      <c r="AR54" s="11"/>
      <c r="AS54" s="55"/>
      <c r="AT54" s="11"/>
      <c r="AU54" s="55"/>
      <c r="AV54" s="11"/>
      <c r="AW54" s="55"/>
      <c r="AX54" s="11"/>
      <c r="AY54" s="55"/>
      <c r="AZ54" s="11"/>
      <c r="BA54" s="55"/>
      <c r="BB54" s="11"/>
      <c r="BC54" s="55"/>
      <c r="BD54" s="11"/>
      <c r="BE54" s="55"/>
      <c r="BF54" s="11"/>
      <c r="BG54" s="37"/>
    </row>
    <row r="55" spans="1:59" x14ac:dyDescent="0.25">
      <c r="A55" s="56"/>
      <c r="B55" s="17" t="s">
        <v>27</v>
      </c>
      <c r="C55" s="85">
        <v>42477</v>
      </c>
      <c r="D55" s="85"/>
      <c r="E55" s="19">
        <v>28</v>
      </c>
      <c r="F55" s="42"/>
      <c r="G55" s="21">
        <v>0.20694444444444446</v>
      </c>
      <c r="H55" s="22"/>
      <c r="I55" s="160">
        <v>157</v>
      </c>
      <c r="J55" s="156"/>
      <c r="K55" s="259"/>
      <c r="L55" s="18"/>
      <c r="M55" s="20"/>
      <c r="N55" s="18"/>
      <c r="O55" s="20"/>
      <c r="P55" s="160"/>
      <c r="Q55" s="156"/>
      <c r="R55" s="18"/>
      <c r="S55" s="224"/>
      <c r="T55" s="84"/>
      <c r="U55" s="31"/>
      <c r="V55" s="42"/>
      <c r="W55" s="18"/>
      <c r="X55" s="20"/>
      <c r="Y55" s="160"/>
      <c r="Z55" s="156"/>
      <c r="AA55" s="265"/>
      <c r="AB55" s="18"/>
      <c r="AC55" s="18"/>
      <c r="AD55" s="20"/>
      <c r="AE55" s="160"/>
      <c r="AF55" s="156"/>
      <c r="AG55" s="265"/>
      <c r="AH55" s="20">
        <f t="shared" si="0"/>
        <v>0</v>
      </c>
      <c r="AI55" s="88">
        <f t="shared" si="1"/>
        <v>28</v>
      </c>
      <c r="AJ55" s="34">
        <f t="shared" si="2"/>
        <v>-28</v>
      </c>
      <c r="AK55" s="58">
        <f t="shared" si="3"/>
        <v>0</v>
      </c>
      <c r="AL55" s="57">
        <f>SUM(AH50:AH55)</f>
        <v>8</v>
      </c>
      <c r="AM55" s="21">
        <f>SUM(AK50:AK55)</f>
        <v>0</v>
      </c>
      <c r="AN55" s="19"/>
      <c r="AO55" s="36"/>
      <c r="AP55" s="18"/>
      <c r="AQ55" s="36"/>
      <c r="AR55" s="18"/>
      <c r="AS55" s="36"/>
      <c r="AT55" s="18"/>
      <c r="AU55" s="36"/>
      <c r="AV55" s="18"/>
      <c r="AW55" s="36"/>
      <c r="AX55" s="18"/>
      <c r="AY55" s="36"/>
      <c r="AZ55" s="18"/>
      <c r="BA55" s="36"/>
      <c r="BB55" s="18"/>
      <c r="BC55" s="36"/>
      <c r="BD55" s="18"/>
      <c r="BE55" s="36"/>
      <c r="BF55" s="18"/>
      <c r="BG55" s="38"/>
    </row>
    <row r="56" spans="1:59" x14ac:dyDescent="0.25">
      <c r="A56" s="10"/>
      <c r="B56" s="1" t="s">
        <v>0</v>
      </c>
      <c r="C56" s="81">
        <v>42478</v>
      </c>
      <c r="D56" s="81"/>
      <c r="E56" s="3">
        <v>10</v>
      </c>
      <c r="F56" s="54"/>
      <c r="G56" s="51"/>
      <c r="H56" s="52"/>
      <c r="I56" s="159">
        <v>129</v>
      </c>
      <c r="J56" s="157"/>
      <c r="K56" s="258"/>
      <c r="L56" s="11"/>
      <c r="M56" s="50"/>
      <c r="N56" s="51"/>
      <c r="O56" s="52"/>
      <c r="P56" s="161"/>
      <c r="Q56" s="157"/>
      <c r="R56" s="26"/>
      <c r="S56" s="223"/>
      <c r="T56" s="26"/>
      <c r="U56" s="53"/>
      <c r="V56" s="54"/>
      <c r="W56" s="11"/>
      <c r="X56" s="50"/>
      <c r="Y56" s="161"/>
      <c r="Z56" s="157"/>
      <c r="AA56" s="263"/>
      <c r="AB56" s="11"/>
      <c r="AC56" s="11"/>
      <c r="AD56" s="52"/>
      <c r="AE56" s="161"/>
      <c r="AF56" s="157"/>
      <c r="AG56" s="233"/>
      <c r="AH56" s="13">
        <f t="shared" si="0"/>
        <v>0</v>
      </c>
      <c r="AI56" s="87">
        <f t="shared" si="1"/>
        <v>10</v>
      </c>
      <c r="AJ56" s="27">
        <f t="shared" si="2"/>
        <v>-10</v>
      </c>
      <c r="AK56" s="63">
        <f t="shared" si="3"/>
        <v>0</v>
      </c>
      <c r="AL56" s="59"/>
      <c r="AM56" s="51"/>
      <c r="AN56" s="3"/>
      <c r="AO56" s="9">
        <f>$AN$2-AN56</f>
        <v>80.7</v>
      </c>
      <c r="AQ56" s="9">
        <f>$AP$2-AP56</f>
        <v>92</v>
      </c>
      <c r="AS56" s="9">
        <f>$AR$2-AR56</f>
        <v>95</v>
      </c>
      <c r="AU56" s="9">
        <f>$AT$2-AT56</f>
        <v>98</v>
      </c>
      <c r="AV56"/>
      <c r="AW56" s="9">
        <f>$AV$2-AV56</f>
        <v>58</v>
      </c>
      <c r="AY56" s="9">
        <f>$AX$2-AX56</f>
        <v>58</v>
      </c>
      <c r="AZ56"/>
      <c r="BA56" s="9">
        <f>$AZ$2-AZ56</f>
        <v>41</v>
      </c>
      <c r="BB56"/>
      <c r="BC56" s="9">
        <f>$BB$2-BB56</f>
        <v>41</v>
      </c>
      <c r="BD56"/>
      <c r="BE56" s="9">
        <f>$BD$2-BD56</f>
        <v>30</v>
      </c>
      <c r="BG56" s="37">
        <f>$BF$2-BF56</f>
        <v>30</v>
      </c>
    </row>
    <row r="57" spans="1:59" x14ac:dyDescent="0.25">
      <c r="A57" s="10"/>
      <c r="B57" s="1" t="s">
        <v>24</v>
      </c>
      <c r="C57" s="81">
        <v>42479</v>
      </c>
      <c r="D57" s="81"/>
      <c r="E57" s="3"/>
      <c r="F57" s="54"/>
      <c r="G57" s="51"/>
      <c r="H57" s="52"/>
      <c r="I57" s="161"/>
      <c r="J57" s="157"/>
      <c r="K57" s="258"/>
      <c r="L57" s="11">
        <v>6</v>
      </c>
      <c r="M57" s="50"/>
      <c r="N57" s="51"/>
      <c r="O57" s="52"/>
      <c r="P57" s="161">
        <v>143</v>
      </c>
      <c r="Q57" s="157"/>
      <c r="R57" s="26"/>
      <c r="S57" s="223"/>
      <c r="T57" s="26"/>
      <c r="U57" s="53"/>
      <c r="V57" s="54"/>
      <c r="W57" s="11"/>
      <c r="X57" s="50"/>
      <c r="Y57" s="161"/>
      <c r="Z57" s="157"/>
      <c r="AA57" s="263"/>
      <c r="AB57" s="11">
        <v>9</v>
      </c>
      <c r="AC57" s="2">
        <v>0.16388888888888889</v>
      </c>
      <c r="AD57" s="52"/>
      <c r="AE57" s="161">
        <v>170</v>
      </c>
      <c r="AF57" s="157"/>
      <c r="AG57" s="233"/>
      <c r="AH57" s="50">
        <f t="shared" si="0"/>
        <v>9</v>
      </c>
      <c r="AI57" s="87">
        <f t="shared" si="1"/>
        <v>15</v>
      </c>
      <c r="AJ57" s="27">
        <f t="shared" si="2"/>
        <v>-6</v>
      </c>
      <c r="AK57" s="63">
        <f t="shared" si="3"/>
        <v>0</v>
      </c>
      <c r="AL57" s="59"/>
      <c r="AM57" s="51"/>
      <c r="AN57" s="3"/>
      <c r="AV57"/>
      <c r="AZ57"/>
      <c r="BB57"/>
      <c r="BD57"/>
      <c r="BG57" s="37"/>
    </row>
    <row r="58" spans="1:59" x14ac:dyDescent="0.25">
      <c r="A58" s="10">
        <v>16</v>
      </c>
      <c r="B58" s="1" t="s">
        <v>15</v>
      </c>
      <c r="C58" s="81">
        <v>42480</v>
      </c>
      <c r="D58" s="81"/>
      <c r="E58" s="3">
        <v>10</v>
      </c>
      <c r="F58" s="54"/>
      <c r="G58" s="51"/>
      <c r="H58" s="52"/>
      <c r="I58" s="159">
        <v>129</v>
      </c>
      <c r="J58" s="157"/>
      <c r="K58" s="258"/>
      <c r="L58" s="11"/>
      <c r="M58" s="50"/>
      <c r="N58" s="51"/>
      <c r="O58" s="52"/>
      <c r="P58" s="161"/>
      <c r="Q58" s="157"/>
      <c r="R58" s="26"/>
      <c r="S58" s="223"/>
      <c r="T58" s="26"/>
      <c r="U58" s="53"/>
      <c r="V58" s="54"/>
      <c r="W58" s="11"/>
      <c r="X58" s="50"/>
      <c r="Y58" s="161"/>
      <c r="Z58" s="157"/>
      <c r="AA58" s="263"/>
      <c r="AB58" s="11"/>
      <c r="AC58" s="11"/>
      <c r="AD58" s="52"/>
      <c r="AE58" s="161"/>
      <c r="AF58" s="157"/>
      <c r="AG58" s="233"/>
      <c r="AH58" s="50">
        <f t="shared" si="0"/>
        <v>0</v>
      </c>
      <c r="AI58" s="87">
        <f t="shared" si="1"/>
        <v>10</v>
      </c>
      <c r="AJ58" s="27">
        <f t="shared" si="2"/>
        <v>-10</v>
      </c>
      <c r="AK58" s="63">
        <f t="shared" si="3"/>
        <v>0</v>
      </c>
      <c r="AL58" s="59"/>
      <c r="AM58" s="51"/>
      <c r="AN58" s="3"/>
      <c r="AO58" s="55"/>
      <c r="AP58" s="11"/>
      <c r="AQ58" s="55"/>
      <c r="AR58" s="11"/>
      <c r="AS58" s="55"/>
      <c r="AT58" s="11"/>
      <c r="AU58" s="55"/>
      <c r="AV58" s="11"/>
      <c r="AW58" s="55"/>
      <c r="AX58" s="11"/>
      <c r="AY58" s="55"/>
      <c r="AZ58" s="11"/>
      <c r="BA58" s="55"/>
      <c r="BB58" s="11"/>
      <c r="BC58" s="55"/>
      <c r="BD58" s="11"/>
      <c r="BE58" s="55"/>
      <c r="BF58" s="11"/>
      <c r="BG58" s="37"/>
    </row>
    <row r="59" spans="1:59" x14ac:dyDescent="0.25">
      <c r="A59" s="10"/>
      <c r="B59" s="1" t="s">
        <v>26</v>
      </c>
      <c r="C59" s="81">
        <v>42481</v>
      </c>
      <c r="D59" s="81"/>
      <c r="E59" s="3">
        <v>20</v>
      </c>
      <c r="F59" s="54"/>
      <c r="G59" s="2">
        <v>0.20694444444444446</v>
      </c>
      <c r="H59" s="52"/>
      <c r="I59" s="161">
        <v>143</v>
      </c>
      <c r="J59" s="157"/>
      <c r="K59" s="258"/>
      <c r="L59" s="11"/>
      <c r="M59" s="50"/>
      <c r="N59" s="51"/>
      <c r="O59" s="52"/>
      <c r="P59" s="161"/>
      <c r="Q59" s="157"/>
      <c r="R59" s="26"/>
      <c r="S59" s="223"/>
      <c r="T59" s="26"/>
      <c r="U59" s="53"/>
      <c r="V59" s="54"/>
      <c r="W59" s="11"/>
      <c r="X59" s="50"/>
      <c r="Y59" s="161"/>
      <c r="Z59" s="157"/>
      <c r="AA59" s="263"/>
      <c r="AB59" s="11"/>
      <c r="AC59" s="11"/>
      <c r="AD59" s="52"/>
      <c r="AE59" s="161"/>
      <c r="AF59" s="157"/>
      <c r="AG59" s="233"/>
      <c r="AH59" s="13">
        <f t="shared" si="0"/>
        <v>0</v>
      </c>
      <c r="AI59" s="87">
        <f t="shared" si="1"/>
        <v>20</v>
      </c>
      <c r="AJ59" s="27">
        <f t="shared" si="2"/>
        <v>-20</v>
      </c>
      <c r="AK59" s="63">
        <f t="shared" si="3"/>
        <v>0</v>
      </c>
      <c r="AL59" s="59"/>
      <c r="AM59" s="51"/>
      <c r="AN59" s="3"/>
      <c r="AO59" s="55"/>
      <c r="AP59" s="11"/>
      <c r="AQ59" s="55"/>
      <c r="AR59" s="11"/>
      <c r="AS59" s="55"/>
      <c r="AT59" s="11"/>
      <c r="AU59" s="55"/>
      <c r="AV59" s="11"/>
      <c r="AW59" s="55"/>
      <c r="AX59" s="11"/>
      <c r="AY59" s="55"/>
      <c r="AZ59" s="11"/>
      <c r="BA59" s="55"/>
      <c r="BB59" s="11"/>
      <c r="BC59" s="55"/>
      <c r="BD59" s="11"/>
      <c r="BE59" s="55"/>
      <c r="BF59" s="11"/>
      <c r="BG59" s="37"/>
    </row>
    <row r="60" spans="1:59" x14ac:dyDescent="0.25">
      <c r="A60" s="10"/>
      <c r="B60" s="1" t="s">
        <v>29</v>
      </c>
      <c r="C60" s="81">
        <v>42482</v>
      </c>
      <c r="D60" s="81"/>
      <c r="E60" s="3"/>
      <c r="F60" s="54"/>
      <c r="G60" s="51"/>
      <c r="H60" s="52"/>
      <c r="I60" s="161"/>
      <c r="J60" s="157"/>
      <c r="K60" s="258"/>
      <c r="L60" s="11">
        <v>6</v>
      </c>
      <c r="M60" s="50"/>
      <c r="N60" s="51"/>
      <c r="O60" s="52"/>
      <c r="P60" s="161">
        <v>143</v>
      </c>
      <c r="Q60" s="157"/>
      <c r="R60" s="26"/>
      <c r="S60" s="223"/>
      <c r="T60" s="26"/>
      <c r="U60" s="53"/>
      <c r="V60" s="54"/>
      <c r="W60" s="11"/>
      <c r="X60" s="50"/>
      <c r="Y60" s="161"/>
      <c r="Z60" s="157"/>
      <c r="AA60" s="263"/>
      <c r="AB60" s="11">
        <v>4</v>
      </c>
      <c r="AC60" s="11"/>
      <c r="AD60" s="52"/>
      <c r="AE60" s="161">
        <v>184</v>
      </c>
      <c r="AF60" s="157"/>
      <c r="AG60" s="233"/>
      <c r="AH60" s="50">
        <f t="shared" si="0"/>
        <v>4</v>
      </c>
      <c r="AI60" s="87">
        <f t="shared" si="1"/>
        <v>10</v>
      </c>
      <c r="AJ60" s="27">
        <f t="shared" si="2"/>
        <v>-6</v>
      </c>
      <c r="AK60" s="63">
        <f t="shared" si="3"/>
        <v>0</v>
      </c>
      <c r="AL60" s="59"/>
      <c r="AM60" s="51"/>
      <c r="AN60" s="3"/>
      <c r="AO60" s="55"/>
      <c r="AP60" s="11"/>
      <c r="AQ60" s="55"/>
      <c r="AR60" s="11"/>
      <c r="AS60" s="55"/>
      <c r="AT60" s="11"/>
      <c r="AU60" s="55"/>
      <c r="AV60" s="11"/>
      <c r="AW60" s="55"/>
      <c r="AX60" s="11"/>
      <c r="AY60" s="55"/>
      <c r="AZ60" s="11"/>
      <c r="BA60" s="55"/>
      <c r="BB60" s="11"/>
      <c r="BC60" s="55"/>
      <c r="BD60" s="11"/>
      <c r="BE60" s="55"/>
      <c r="BF60" s="11"/>
      <c r="BG60" s="37"/>
    </row>
    <row r="61" spans="1:59" x14ac:dyDescent="0.25">
      <c r="A61" s="56"/>
      <c r="B61" s="17" t="s">
        <v>27</v>
      </c>
      <c r="C61" s="85">
        <v>42484</v>
      </c>
      <c r="D61" s="85"/>
      <c r="E61" s="19">
        <v>30</v>
      </c>
      <c r="F61" s="42"/>
      <c r="G61" s="21">
        <v>0.20694444444444446</v>
      </c>
      <c r="H61" s="22"/>
      <c r="I61" s="160">
        <v>157</v>
      </c>
      <c r="J61" s="156"/>
      <c r="K61" s="259"/>
      <c r="L61" s="18"/>
      <c r="M61" s="20"/>
      <c r="N61" s="18"/>
      <c r="O61" s="20"/>
      <c r="P61" s="160"/>
      <c r="Q61" s="156"/>
      <c r="R61" s="18"/>
      <c r="S61" s="224"/>
      <c r="T61" s="84"/>
      <c r="U61" s="31"/>
      <c r="V61" s="42"/>
      <c r="W61" s="18"/>
      <c r="X61" s="20"/>
      <c r="Y61" s="160"/>
      <c r="Z61" s="156"/>
      <c r="AA61" s="265"/>
      <c r="AB61" s="18"/>
      <c r="AC61" s="18"/>
      <c r="AD61" s="20"/>
      <c r="AE61" s="160"/>
      <c r="AF61" s="156"/>
      <c r="AG61" s="265"/>
      <c r="AH61" s="20">
        <f t="shared" si="0"/>
        <v>0</v>
      </c>
      <c r="AI61" s="88">
        <f t="shared" si="1"/>
        <v>30</v>
      </c>
      <c r="AJ61" s="34">
        <f t="shared" si="2"/>
        <v>-30</v>
      </c>
      <c r="AK61" s="58">
        <f t="shared" si="3"/>
        <v>0</v>
      </c>
      <c r="AL61" s="57">
        <f>SUM(AH56:AH61)</f>
        <v>13</v>
      </c>
      <c r="AM61" s="21">
        <f>SUM(AK56:AK61)</f>
        <v>0</v>
      </c>
      <c r="AN61" s="19"/>
      <c r="AO61" s="36"/>
      <c r="AP61" s="18"/>
      <c r="AQ61" s="36"/>
      <c r="AR61" s="18"/>
      <c r="AS61" s="36"/>
      <c r="AT61" s="18"/>
      <c r="AU61" s="36"/>
      <c r="AV61" s="18"/>
      <c r="AW61" s="36"/>
      <c r="AX61" s="18"/>
      <c r="AY61" s="36"/>
      <c r="AZ61" s="18"/>
      <c r="BA61" s="36"/>
      <c r="BB61" s="18"/>
      <c r="BC61" s="36"/>
      <c r="BD61" s="18"/>
      <c r="BE61" s="36"/>
      <c r="BF61" s="18"/>
      <c r="BG61" s="38"/>
    </row>
    <row r="62" spans="1:59" x14ac:dyDescent="0.25">
      <c r="A62" s="10"/>
      <c r="B62" s="1" t="s">
        <v>0</v>
      </c>
      <c r="C62" s="81">
        <v>42485</v>
      </c>
      <c r="D62" s="81"/>
      <c r="E62" s="3">
        <v>10</v>
      </c>
      <c r="F62" s="54"/>
      <c r="G62" s="51"/>
      <c r="H62" s="52"/>
      <c r="I62" s="159">
        <v>129</v>
      </c>
      <c r="J62" s="157"/>
      <c r="K62" s="258"/>
      <c r="L62" s="11"/>
      <c r="M62" s="50"/>
      <c r="N62" s="51"/>
      <c r="O62" s="52"/>
      <c r="P62" s="161"/>
      <c r="Q62" s="157"/>
      <c r="R62" s="26"/>
      <c r="S62" s="223"/>
      <c r="T62" s="26"/>
      <c r="U62" s="53"/>
      <c r="V62" s="54"/>
      <c r="W62" s="11"/>
      <c r="X62" s="50"/>
      <c r="Y62" s="161"/>
      <c r="Z62" s="157"/>
      <c r="AA62" s="263"/>
      <c r="AB62" s="11"/>
      <c r="AC62" s="11"/>
      <c r="AD62" s="52"/>
      <c r="AE62" s="161"/>
      <c r="AF62" s="157"/>
      <c r="AG62" s="233"/>
      <c r="AH62" s="13">
        <f t="shared" si="0"/>
        <v>0</v>
      </c>
      <c r="AI62" s="87">
        <f t="shared" si="1"/>
        <v>10</v>
      </c>
      <c r="AJ62" s="27">
        <f t="shared" si="2"/>
        <v>-10</v>
      </c>
      <c r="AK62" s="63">
        <f t="shared" si="3"/>
        <v>0</v>
      </c>
      <c r="AL62" s="59"/>
      <c r="AM62" s="51"/>
      <c r="AN62" s="3"/>
      <c r="AO62" s="9">
        <f>$AN$2-AN62</f>
        <v>80.7</v>
      </c>
      <c r="AQ62" s="9">
        <f>$AP$2-AP62</f>
        <v>92</v>
      </c>
      <c r="AS62" s="9">
        <f>$AR$2-AR62</f>
        <v>95</v>
      </c>
      <c r="AU62" s="9">
        <f>$AT$2-AT62</f>
        <v>98</v>
      </c>
      <c r="AV62"/>
      <c r="AW62" s="9">
        <f>$AV$2-AV62</f>
        <v>58</v>
      </c>
      <c r="AY62" s="9">
        <f>$AX$2-AX62</f>
        <v>58</v>
      </c>
      <c r="AZ62"/>
      <c r="BA62" s="9">
        <f>$AZ$2-AZ62</f>
        <v>41</v>
      </c>
      <c r="BB62"/>
      <c r="BC62" s="9">
        <f>$BB$2-BB62</f>
        <v>41</v>
      </c>
      <c r="BD62"/>
      <c r="BE62" s="9">
        <f>$BD$2-BD62</f>
        <v>30</v>
      </c>
      <c r="BG62" s="37">
        <f>$BF$2-BF62</f>
        <v>30</v>
      </c>
    </row>
    <row r="63" spans="1:59" x14ac:dyDescent="0.25">
      <c r="A63" s="10"/>
      <c r="B63" s="1" t="s">
        <v>24</v>
      </c>
      <c r="C63" s="81">
        <v>42486</v>
      </c>
      <c r="D63" s="81"/>
      <c r="E63" s="3"/>
      <c r="F63" s="54"/>
      <c r="G63" s="51"/>
      <c r="H63" s="52"/>
      <c r="I63" s="161"/>
      <c r="J63" s="157"/>
      <c r="K63" s="258"/>
      <c r="L63" s="11">
        <v>6</v>
      </c>
      <c r="M63" s="50"/>
      <c r="N63" s="11"/>
      <c r="O63" s="52"/>
      <c r="P63" s="161">
        <v>143</v>
      </c>
      <c r="Q63" s="157"/>
      <c r="R63" s="26"/>
      <c r="S63" s="223"/>
      <c r="T63" s="26"/>
      <c r="U63" s="53"/>
      <c r="V63" s="54"/>
      <c r="W63" s="11"/>
      <c r="X63" s="50"/>
      <c r="Y63" s="161"/>
      <c r="Z63" s="157"/>
      <c r="AA63" s="263"/>
      <c r="AB63" s="11">
        <v>7</v>
      </c>
      <c r="AC63" s="2">
        <v>0.16388888888888889</v>
      </c>
      <c r="AD63" s="52"/>
      <c r="AE63" s="161">
        <v>170</v>
      </c>
      <c r="AF63" s="157"/>
      <c r="AG63" s="233"/>
      <c r="AH63" s="13">
        <f t="shared" si="0"/>
        <v>7</v>
      </c>
      <c r="AI63" s="87">
        <f t="shared" si="1"/>
        <v>13</v>
      </c>
      <c r="AJ63" s="27">
        <f t="shared" si="2"/>
        <v>-6</v>
      </c>
      <c r="AK63" s="63">
        <f t="shared" si="3"/>
        <v>0</v>
      </c>
      <c r="AL63" s="59"/>
      <c r="AM63" s="51"/>
      <c r="AN63" s="3"/>
      <c r="AV63"/>
      <c r="AZ63"/>
      <c r="BB63"/>
      <c r="BD63"/>
      <c r="BG63" s="37"/>
    </row>
    <row r="64" spans="1:59" x14ac:dyDescent="0.25">
      <c r="A64" s="10">
        <v>17</v>
      </c>
      <c r="B64" s="1" t="s">
        <v>15</v>
      </c>
      <c r="C64" s="81">
        <v>42487</v>
      </c>
      <c r="D64" s="81"/>
      <c r="E64" s="3">
        <v>10</v>
      </c>
      <c r="F64" s="54"/>
      <c r="G64" s="51"/>
      <c r="H64" s="52"/>
      <c r="I64" s="159">
        <v>129</v>
      </c>
      <c r="J64" s="157"/>
      <c r="K64" s="258"/>
      <c r="L64" s="11"/>
      <c r="M64" s="52"/>
      <c r="N64" s="51"/>
      <c r="O64" s="52"/>
      <c r="P64" s="161"/>
      <c r="Q64" s="157"/>
      <c r="R64" s="26"/>
      <c r="S64" s="223"/>
      <c r="T64" s="26"/>
      <c r="U64" s="53"/>
      <c r="V64" s="54"/>
      <c r="W64" s="11"/>
      <c r="X64" s="50"/>
      <c r="Y64" s="161"/>
      <c r="Z64" s="157"/>
      <c r="AA64" s="263"/>
      <c r="AB64" s="11"/>
      <c r="AC64" s="11"/>
      <c r="AD64" s="52"/>
      <c r="AE64" s="161"/>
      <c r="AF64" s="157"/>
      <c r="AG64" s="233"/>
      <c r="AH64" s="13">
        <f t="shared" si="0"/>
        <v>0</v>
      </c>
      <c r="AI64" s="87">
        <f t="shared" si="1"/>
        <v>10</v>
      </c>
      <c r="AJ64" s="27">
        <f t="shared" si="2"/>
        <v>-10</v>
      </c>
      <c r="AK64" s="63">
        <f t="shared" si="3"/>
        <v>0</v>
      </c>
      <c r="AL64" s="59"/>
      <c r="AM64" s="51"/>
      <c r="AN64" s="3"/>
      <c r="AO64" s="55"/>
      <c r="AP64" s="11"/>
      <c r="AQ64" s="55"/>
      <c r="AR64" s="11"/>
      <c r="AS64" s="55"/>
      <c r="AT64" s="11"/>
      <c r="AU64" s="55"/>
      <c r="AV64" s="11"/>
      <c r="AW64" s="55"/>
      <c r="AX64" s="11"/>
      <c r="AY64" s="55"/>
      <c r="AZ64" s="11"/>
      <c r="BA64" s="55"/>
      <c r="BB64" s="11"/>
      <c r="BC64" s="55"/>
      <c r="BD64" s="11"/>
      <c r="BE64" s="55"/>
      <c r="BF64" s="11"/>
      <c r="BG64" s="37"/>
    </row>
    <row r="65" spans="1:59" x14ac:dyDescent="0.25">
      <c r="A65" s="10"/>
      <c r="B65" s="1" t="s">
        <v>26</v>
      </c>
      <c r="C65" s="81">
        <v>42488</v>
      </c>
      <c r="D65" s="81"/>
      <c r="E65" s="189">
        <v>12</v>
      </c>
      <c r="F65" s="54"/>
      <c r="G65" s="2">
        <v>0.20694444444444446</v>
      </c>
      <c r="H65" s="52"/>
      <c r="I65" s="161">
        <v>143</v>
      </c>
      <c r="J65" s="157"/>
      <c r="K65" s="258"/>
      <c r="L65" s="11"/>
      <c r="M65" s="52"/>
      <c r="N65" s="51"/>
      <c r="O65" s="52"/>
      <c r="P65" s="161"/>
      <c r="Q65" s="157"/>
      <c r="R65" s="26"/>
      <c r="S65" s="223"/>
      <c r="T65" s="26"/>
      <c r="U65" s="53"/>
      <c r="V65" s="54"/>
      <c r="W65" s="11"/>
      <c r="X65" s="50"/>
      <c r="Y65" s="161"/>
      <c r="Z65" s="157"/>
      <c r="AA65" s="263"/>
      <c r="AB65" s="11"/>
      <c r="AC65" s="11"/>
      <c r="AD65" s="52"/>
      <c r="AE65" s="161"/>
      <c r="AF65" s="157"/>
      <c r="AG65" s="233"/>
      <c r="AH65" s="13">
        <f t="shared" si="0"/>
        <v>0</v>
      </c>
      <c r="AI65" s="87">
        <f t="shared" si="1"/>
        <v>12</v>
      </c>
      <c r="AJ65" s="27">
        <f t="shared" si="2"/>
        <v>-12</v>
      </c>
      <c r="AK65" s="63">
        <f t="shared" si="3"/>
        <v>0</v>
      </c>
      <c r="AL65" s="59"/>
      <c r="AM65" s="51"/>
      <c r="AN65" s="3"/>
      <c r="AO65" s="55"/>
      <c r="AP65" s="11"/>
      <c r="AQ65" s="55"/>
      <c r="AR65" s="11"/>
      <c r="AS65" s="55"/>
      <c r="AT65" s="11"/>
      <c r="AU65" s="55"/>
      <c r="AV65" s="11"/>
      <c r="AW65" s="55"/>
      <c r="AX65" s="11"/>
      <c r="AY65" s="55"/>
      <c r="AZ65" s="11"/>
      <c r="BA65" s="55"/>
      <c r="BB65" s="11"/>
      <c r="BC65" s="55"/>
      <c r="BD65" s="11"/>
      <c r="BE65" s="55"/>
      <c r="BF65" s="11"/>
      <c r="BG65" s="37"/>
    </row>
    <row r="66" spans="1:59" x14ac:dyDescent="0.25">
      <c r="A66" s="10"/>
      <c r="B66" s="1" t="s">
        <v>29</v>
      </c>
      <c r="C66" s="81">
        <v>42489</v>
      </c>
      <c r="D66" s="81"/>
      <c r="E66" s="3">
        <v>21</v>
      </c>
      <c r="F66" s="54"/>
      <c r="G66" s="2">
        <v>0.20694444444444446</v>
      </c>
      <c r="H66" s="52"/>
      <c r="I66" s="161">
        <v>143</v>
      </c>
      <c r="J66" s="157"/>
      <c r="K66" s="258"/>
      <c r="L66" s="11"/>
      <c r="M66" s="52"/>
      <c r="N66" s="51"/>
      <c r="O66" s="52"/>
      <c r="P66" s="161"/>
      <c r="Q66" s="157"/>
      <c r="R66" s="26"/>
      <c r="S66" s="223"/>
      <c r="T66" s="26"/>
      <c r="U66" s="53"/>
      <c r="V66" s="54"/>
      <c r="W66" s="11"/>
      <c r="X66" s="50"/>
      <c r="Y66" s="161"/>
      <c r="Z66" s="157"/>
      <c r="AA66" s="263"/>
      <c r="AB66" s="11"/>
      <c r="AC66" s="11"/>
      <c r="AD66" s="52"/>
      <c r="AE66" s="161"/>
      <c r="AF66" s="157"/>
      <c r="AG66" s="233"/>
      <c r="AH66" s="13">
        <f t="shared" si="0"/>
        <v>0</v>
      </c>
      <c r="AI66" s="87">
        <f t="shared" si="1"/>
        <v>21</v>
      </c>
      <c r="AJ66" s="27">
        <f t="shared" si="2"/>
        <v>-21</v>
      </c>
      <c r="AK66" s="63">
        <f t="shared" si="3"/>
        <v>0</v>
      </c>
      <c r="AL66" s="59"/>
      <c r="AM66" s="51"/>
      <c r="AN66" s="3"/>
      <c r="AO66" s="55"/>
      <c r="AP66" s="11"/>
      <c r="AQ66" s="55"/>
      <c r="AR66" s="11"/>
      <c r="AS66" s="55"/>
      <c r="AT66" s="11"/>
      <c r="AU66" s="55"/>
      <c r="AV66" s="11"/>
      <c r="AW66" s="55"/>
      <c r="AX66" s="11"/>
      <c r="AY66" s="55"/>
      <c r="AZ66" s="11"/>
      <c r="BA66" s="55"/>
      <c r="BB66" s="11"/>
      <c r="BC66" s="55"/>
      <c r="BD66" s="11"/>
      <c r="BE66" s="55"/>
      <c r="BF66" s="11"/>
      <c r="BG66" s="37"/>
    </row>
    <row r="67" spans="1:59" x14ac:dyDescent="0.25">
      <c r="A67" s="56"/>
      <c r="B67" s="17" t="s">
        <v>27</v>
      </c>
      <c r="C67" s="85">
        <v>42491</v>
      </c>
      <c r="D67" s="85"/>
      <c r="E67" s="19">
        <v>32</v>
      </c>
      <c r="F67" s="42"/>
      <c r="G67" s="21">
        <v>0.20694444444444446</v>
      </c>
      <c r="H67" s="22"/>
      <c r="I67" s="160">
        <v>143</v>
      </c>
      <c r="J67" s="156"/>
      <c r="K67" s="259"/>
      <c r="L67" s="18"/>
      <c r="M67" s="20"/>
      <c r="N67" s="18"/>
      <c r="O67" s="20"/>
      <c r="P67" s="160"/>
      <c r="Q67" s="156"/>
      <c r="R67" s="18"/>
      <c r="S67" s="224"/>
      <c r="T67" s="84"/>
      <c r="U67" s="31"/>
      <c r="V67" s="42"/>
      <c r="W67" s="18"/>
      <c r="X67" s="20"/>
      <c r="Y67" s="160"/>
      <c r="Z67" s="156"/>
      <c r="AA67" s="265"/>
      <c r="AB67" s="18"/>
      <c r="AC67" s="18"/>
      <c r="AD67" s="20"/>
      <c r="AE67" s="160"/>
      <c r="AF67" s="156"/>
      <c r="AG67" s="265"/>
      <c r="AH67" s="20">
        <f t="shared" si="0"/>
        <v>0</v>
      </c>
      <c r="AI67" s="88">
        <f t="shared" si="1"/>
        <v>32</v>
      </c>
      <c r="AJ67" s="34">
        <f t="shared" si="2"/>
        <v>-32</v>
      </c>
      <c r="AK67" s="58">
        <f t="shared" si="3"/>
        <v>0</v>
      </c>
      <c r="AL67" s="57">
        <f>SUM(AH62:AH67)</f>
        <v>7</v>
      </c>
      <c r="AM67" s="21">
        <f>SUM(AK62:AK67)</f>
        <v>0</v>
      </c>
      <c r="AN67" s="19"/>
      <c r="AO67" s="36"/>
      <c r="AP67" s="18"/>
      <c r="AQ67" s="36"/>
      <c r="AR67" s="18"/>
      <c r="AS67" s="36"/>
      <c r="AT67" s="18"/>
      <c r="AU67" s="36"/>
      <c r="AV67" s="18"/>
      <c r="AW67" s="36"/>
      <c r="AX67" s="18"/>
      <c r="AY67" s="36"/>
      <c r="AZ67" s="18"/>
      <c r="BA67" s="36"/>
      <c r="BB67" s="18"/>
      <c r="BC67" s="36"/>
      <c r="BD67" s="18"/>
      <c r="BE67" s="36"/>
      <c r="BF67" s="18"/>
      <c r="BG67" s="38"/>
    </row>
    <row r="68" spans="1:59" x14ac:dyDescent="0.25">
      <c r="A68" s="10"/>
      <c r="B68" s="1" t="s">
        <v>0</v>
      </c>
      <c r="C68" s="81">
        <v>42492</v>
      </c>
      <c r="D68" s="81"/>
      <c r="E68" s="3">
        <v>10</v>
      </c>
      <c r="F68" s="54"/>
      <c r="G68" s="2"/>
      <c r="H68" s="52"/>
      <c r="I68" s="159">
        <v>129</v>
      </c>
      <c r="J68" s="157"/>
      <c r="K68" s="258"/>
      <c r="L68" s="11"/>
      <c r="M68" s="50"/>
      <c r="N68" s="11"/>
      <c r="O68" s="50"/>
      <c r="P68" s="161"/>
      <c r="Q68" s="157"/>
      <c r="R68" s="11"/>
      <c r="S68" s="223"/>
      <c r="T68" s="26"/>
      <c r="U68" s="53"/>
      <c r="V68" s="54"/>
      <c r="W68" s="11"/>
      <c r="X68" s="50"/>
      <c r="Y68" s="161"/>
      <c r="Z68" s="157"/>
      <c r="AA68" s="263"/>
      <c r="AB68" s="11"/>
      <c r="AC68" s="11"/>
      <c r="AD68" s="50"/>
      <c r="AE68" s="161"/>
      <c r="AF68" s="157"/>
      <c r="AG68" s="263"/>
      <c r="AH68" s="13">
        <f t="shared" si="0"/>
        <v>0</v>
      </c>
      <c r="AI68" s="87">
        <f t="shared" si="1"/>
        <v>10</v>
      </c>
      <c r="AJ68" s="27">
        <f t="shared" si="2"/>
        <v>-10</v>
      </c>
      <c r="AK68" s="63">
        <f t="shared" si="3"/>
        <v>0</v>
      </c>
      <c r="AL68" s="59"/>
      <c r="AM68" s="51"/>
      <c r="AN68" s="3"/>
      <c r="AO68" s="9">
        <f>$AN$2-AN68</f>
        <v>80.7</v>
      </c>
      <c r="AQ68" s="9">
        <f>$AP$2-AP68</f>
        <v>92</v>
      </c>
      <c r="AS68" s="9">
        <f>$AR$2-AR68</f>
        <v>95</v>
      </c>
      <c r="AU68" s="9">
        <f>$AT$2-AT68</f>
        <v>98</v>
      </c>
      <c r="AV68"/>
      <c r="AW68" s="9">
        <f>$AV$2-AV68</f>
        <v>58</v>
      </c>
      <c r="AY68" s="9">
        <f>$AX$2-AX68</f>
        <v>58</v>
      </c>
      <c r="AZ68"/>
      <c r="BA68" s="9">
        <f>$AZ$2-AZ68</f>
        <v>41</v>
      </c>
      <c r="BB68"/>
      <c r="BC68" s="9">
        <f>$BB$2-BB68</f>
        <v>41</v>
      </c>
      <c r="BD68"/>
      <c r="BE68" s="9">
        <f>$BD$2-BD68</f>
        <v>30</v>
      </c>
      <c r="BG68" s="37">
        <f>$BF$2-BF68</f>
        <v>30</v>
      </c>
    </row>
    <row r="69" spans="1:59" x14ac:dyDescent="0.25">
      <c r="A69" s="10"/>
      <c r="B69" s="1" t="s">
        <v>24</v>
      </c>
      <c r="C69" s="81">
        <v>42493</v>
      </c>
      <c r="D69" s="81"/>
      <c r="E69" s="3">
        <v>10</v>
      </c>
      <c r="F69" s="54"/>
      <c r="G69" s="2"/>
      <c r="H69" s="52"/>
      <c r="I69" s="159">
        <v>129</v>
      </c>
      <c r="J69" s="157"/>
      <c r="K69" s="258"/>
      <c r="L69" s="11"/>
      <c r="M69" s="50"/>
      <c r="N69" s="51"/>
      <c r="O69" s="52"/>
      <c r="P69" s="161"/>
      <c r="Q69" s="157"/>
      <c r="R69" s="26"/>
      <c r="S69" s="223"/>
      <c r="T69" s="26"/>
      <c r="U69" s="53"/>
      <c r="V69" s="54"/>
      <c r="W69" s="11"/>
      <c r="X69" s="50"/>
      <c r="Y69" s="161"/>
      <c r="Z69" s="157"/>
      <c r="AA69" s="263"/>
      <c r="AB69" s="11"/>
      <c r="AC69" s="51"/>
      <c r="AD69" s="52"/>
      <c r="AE69" s="161"/>
      <c r="AF69" s="157"/>
      <c r="AG69" s="233"/>
      <c r="AH69" s="13">
        <f t="shared" si="0"/>
        <v>0</v>
      </c>
      <c r="AI69" s="87">
        <f t="shared" si="1"/>
        <v>10</v>
      </c>
      <c r="AJ69" s="27">
        <f t="shared" si="2"/>
        <v>-10</v>
      </c>
      <c r="AK69" s="63">
        <f t="shared" si="3"/>
        <v>0</v>
      </c>
      <c r="AL69" s="59"/>
      <c r="AM69" s="51"/>
      <c r="AN69" s="3"/>
      <c r="AV69"/>
      <c r="AZ69"/>
      <c r="BB69"/>
      <c r="BD69"/>
      <c r="BG69" s="37"/>
    </row>
    <row r="70" spans="1:59" x14ac:dyDescent="0.25">
      <c r="A70" s="10">
        <v>18</v>
      </c>
      <c r="B70" s="1" t="s">
        <v>15</v>
      </c>
      <c r="C70" s="81">
        <v>42494</v>
      </c>
      <c r="D70" s="81"/>
      <c r="E70" s="3"/>
      <c r="F70" s="54"/>
      <c r="G70" s="51"/>
      <c r="H70" s="52"/>
      <c r="I70" s="161"/>
      <c r="J70" s="157"/>
      <c r="K70" s="258"/>
      <c r="L70" s="11">
        <v>3</v>
      </c>
      <c r="M70" s="50"/>
      <c r="N70" s="2"/>
      <c r="O70" s="52"/>
      <c r="P70" s="161">
        <v>143</v>
      </c>
      <c r="Q70" s="157"/>
      <c r="R70" s="26"/>
      <c r="S70" s="223"/>
      <c r="T70" s="26"/>
      <c r="U70" s="53"/>
      <c r="V70" s="54"/>
      <c r="W70" s="51"/>
      <c r="X70" s="52"/>
      <c r="Y70" s="161"/>
      <c r="Z70" s="157"/>
      <c r="AA70" s="233"/>
      <c r="AB70" s="11">
        <v>10</v>
      </c>
      <c r="AC70" s="11"/>
      <c r="AD70" s="50"/>
      <c r="AE70" s="161">
        <v>184</v>
      </c>
      <c r="AF70" s="157"/>
      <c r="AG70" s="263"/>
      <c r="AH70" s="13">
        <f t="shared" si="0"/>
        <v>10</v>
      </c>
      <c r="AI70" s="87">
        <f t="shared" si="1"/>
        <v>13</v>
      </c>
      <c r="AJ70" s="27">
        <f t="shared" si="2"/>
        <v>-3</v>
      </c>
      <c r="AK70" s="63">
        <f t="shared" si="3"/>
        <v>0</v>
      </c>
      <c r="AL70" s="59"/>
      <c r="AM70" s="51"/>
      <c r="AN70" s="3"/>
      <c r="AO70" s="55"/>
      <c r="AP70" s="11"/>
      <c r="AQ70" s="55"/>
      <c r="AR70" s="11"/>
      <c r="AS70" s="55"/>
      <c r="AT70" s="11"/>
      <c r="AU70" s="55"/>
      <c r="AV70" s="11"/>
      <c r="AW70" s="55"/>
      <c r="AX70" s="11"/>
      <c r="AY70" s="55"/>
      <c r="AZ70" s="11"/>
      <c r="BA70" s="55"/>
      <c r="BB70" s="11"/>
      <c r="BC70" s="55"/>
      <c r="BD70" s="11"/>
      <c r="BE70" s="55"/>
      <c r="BF70" s="11"/>
      <c r="BG70" s="37"/>
    </row>
    <row r="71" spans="1:59" x14ac:dyDescent="0.25">
      <c r="A71" s="10"/>
      <c r="B71" s="1" t="s">
        <v>26</v>
      </c>
      <c r="C71" s="81">
        <v>42495</v>
      </c>
      <c r="D71" s="81"/>
      <c r="E71" s="3">
        <v>10</v>
      </c>
      <c r="F71" s="54"/>
      <c r="G71" s="2">
        <v>0.20694444444444446</v>
      </c>
      <c r="H71" s="52"/>
      <c r="I71" s="161">
        <v>143</v>
      </c>
      <c r="J71" s="157"/>
      <c r="K71" s="258"/>
      <c r="L71" s="11"/>
      <c r="M71" s="50"/>
      <c r="N71" s="2"/>
      <c r="O71" s="52"/>
      <c r="P71" s="161"/>
      <c r="Q71" s="157"/>
      <c r="R71" s="26"/>
      <c r="S71" s="223"/>
      <c r="T71" s="26"/>
      <c r="U71" s="53"/>
      <c r="V71" s="54"/>
      <c r="W71" s="51"/>
      <c r="X71" s="52"/>
      <c r="Y71" s="161"/>
      <c r="Z71" s="157"/>
      <c r="AA71" s="233"/>
      <c r="AB71" s="11"/>
      <c r="AC71" s="11"/>
      <c r="AD71" s="50"/>
      <c r="AE71" s="161"/>
      <c r="AF71" s="157"/>
      <c r="AG71" s="263"/>
      <c r="AH71" s="13">
        <f t="shared" si="0"/>
        <v>0</v>
      </c>
      <c r="AI71" s="87">
        <f t="shared" si="1"/>
        <v>10</v>
      </c>
      <c r="AJ71" s="27">
        <f t="shared" si="2"/>
        <v>-10</v>
      </c>
      <c r="AK71" s="63">
        <f t="shared" si="3"/>
        <v>0</v>
      </c>
      <c r="AL71" s="59"/>
      <c r="AM71" s="51"/>
      <c r="AN71" s="3"/>
      <c r="AO71" s="55"/>
      <c r="AP71" s="11"/>
      <c r="AQ71" s="55"/>
      <c r="AR71" s="11"/>
      <c r="AS71" s="55"/>
      <c r="AT71" s="11"/>
      <c r="AU71" s="55"/>
      <c r="AV71" s="11"/>
      <c r="AW71" s="55"/>
      <c r="AX71" s="11"/>
      <c r="AY71" s="55"/>
      <c r="AZ71" s="11"/>
      <c r="BA71" s="55"/>
      <c r="BB71" s="11"/>
      <c r="BC71" s="55"/>
      <c r="BD71" s="11"/>
      <c r="BE71" s="55"/>
      <c r="BF71" s="11"/>
      <c r="BG71" s="37"/>
    </row>
    <row r="72" spans="1:59" x14ac:dyDescent="0.25">
      <c r="A72" s="10"/>
      <c r="B72" s="1" t="s">
        <v>29</v>
      </c>
      <c r="C72" s="81">
        <v>42496</v>
      </c>
      <c r="D72" s="81"/>
      <c r="E72" s="3">
        <v>10</v>
      </c>
      <c r="F72" s="54"/>
      <c r="G72" s="2">
        <v>0.20694444444444446</v>
      </c>
      <c r="H72" s="52"/>
      <c r="I72" s="161">
        <v>143</v>
      </c>
      <c r="J72" s="157"/>
      <c r="K72" s="258"/>
      <c r="L72" s="11"/>
      <c r="M72" s="50"/>
      <c r="N72" s="2"/>
      <c r="O72" s="52"/>
      <c r="P72" s="161"/>
      <c r="Q72" s="157"/>
      <c r="R72" s="26"/>
      <c r="S72" s="223"/>
      <c r="T72" s="26"/>
      <c r="U72" s="53"/>
      <c r="V72" s="54"/>
      <c r="W72" s="51"/>
      <c r="X72" s="52"/>
      <c r="Y72" s="161"/>
      <c r="Z72" s="157"/>
      <c r="AA72" s="233"/>
      <c r="AB72" s="11"/>
      <c r="AC72" s="11"/>
      <c r="AD72" s="50"/>
      <c r="AE72" s="161"/>
      <c r="AF72" s="157"/>
      <c r="AG72" s="263"/>
      <c r="AH72" s="13">
        <f t="shared" si="0"/>
        <v>0</v>
      </c>
      <c r="AI72" s="87">
        <f t="shared" si="1"/>
        <v>10</v>
      </c>
      <c r="AJ72" s="27">
        <f t="shared" si="2"/>
        <v>-10</v>
      </c>
      <c r="AK72" s="63">
        <f t="shared" si="3"/>
        <v>0</v>
      </c>
      <c r="AL72" s="59"/>
      <c r="AM72" s="51"/>
      <c r="AN72" s="3"/>
      <c r="AO72" s="55"/>
      <c r="AP72" s="11"/>
      <c r="AQ72" s="55"/>
      <c r="AR72" s="11"/>
      <c r="AS72" s="55"/>
      <c r="AT72" s="11"/>
      <c r="AU72" s="55"/>
      <c r="AV72" s="11"/>
      <c r="AW72" s="55"/>
      <c r="AX72" s="11"/>
      <c r="AY72" s="55"/>
      <c r="AZ72" s="11"/>
      <c r="BA72" s="55"/>
      <c r="BB72" s="11"/>
      <c r="BC72" s="55"/>
      <c r="BD72" s="11"/>
      <c r="BE72" s="55"/>
      <c r="BF72" s="11"/>
      <c r="BG72" s="37"/>
    </row>
    <row r="73" spans="1:59" x14ac:dyDescent="0.25">
      <c r="A73" s="56"/>
      <c r="B73" s="17" t="s">
        <v>27</v>
      </c>
      <c r="C73" s="85">
        <v>42498</v>
      </c>
      <c r="D73" s="85"/>
      <c r="E73" s="19">
        <v>24</v>
      </c>
      <c r="F73" s="42"/>
      <c r="G73" s="21">
        <v>0.20694444444444446</v>
      </c>
      <c r="H73" s="22"/>
      <c r="I73" s="160">
        <v>143</v>
      </c>
      <c r="J73" s="156"/>
      <c r="K73" s="259"/>
      <c r="L73" s="18"/>
      <c r="M73" s="20"/>
      <c r="N73" s="18"/>
      <c r="O73" s="20"/>
      <c r="P73" s="160"/>
      <c r="Q73" s="156"/>
      <c r="R73" s="18"/>
      <c r="S73" s="224"/>
      <c r="T73" s="84"/>
      <c r="U73" s="31"/>
      <c r="V73" s="42"/>
      <c r="W73" s="21"/>
      <c r="X73" s="22"/>
      <c r="Y73" s="160"/>
      <c r="Z73" s="156"/>
      <c r="AA73" s="266"/>
      <c r="AB73" s="18"/>
      <c r="AC73" s="18"/>
      <c r="AD73" s="20"/>
      <c r="AE73" s="160"/>
      <c r="AF73" s="156"/>
      <c r="AG73" s="266"/>
      <c r="AH73" s="20">
        <f t="shared" si="0"/>
        <v>0</v>
      </c>
      <c r="AI73" s="88">
        <f t="shared" si="1"/>
        <v>24</v>
      </c>
      <c r="AJ73" s="34">
        <f t="shared" si="2"/>
        <v>-24</v>
      </c>
      <c r="AK73" s="58">
        <f t="shared" si="3"/>
        <v>0</v>
      </c>
      <c r="AL73" s="57">
        <f>SUM(AH68:AH73)</f>
        <v>10</v>
      </c>
      <c r="AM73" s="21">
        <f>SUM(AK68:AK73)</f>
        <v>0</v>
      </c>
      <c r="AN73" s="19"/>
      <c r="AO73" s="36"/>
      <c r="AP73" s="18"/>
      <c r="AQ73" s="36"/>
      <c r="AR73" s="18"/>
      <c r="AS73" s="36"/>
      <c r="AT73" s="18"/>
      <c r="AU73" s="36"/>
      <c r="AV73" s="18"/>
      <c r="AW73" s="36"/>
      <c r="AX73" s="18"/>
      <c r="AY73" s="36"/>
      <c r="AZ73" s="18"/>
      <c r="BA73" s="36"/>
      <c r="BB73" s="18"/>
      <c r="BC73" s="36"/>
      <c r="BD73" s="18"/>
      <c r="BE73" s="36"/>
      <c r="BF73" s="18"/>
      <c r="BG73" s="38"/>
    </row>
    <row r="74" spans="1:59" x14ac:dyDescent="0.25">
      <c r="A74" s="10"/>
      <c r="B74" s="1" t="s">
        <v>0</v>
      </c>
      <c r="C74" s="81">
        <v>42499</v>
      </c>
      <c r="D74" s="81"/>
      <c r="E74" s="3">
        <v>10</v>
      </c>
      <c r="F74" s="54"/>
      <c r="G74" s="2"/>
      <c r="H74" s="52"/>
      <c r="I74" s="159">
        <v>129</v>
      </c>
      <c r="J74" s="157"/>
      <c r="K74" s="258"/>
      <c r="L74" s="11"/>
      <c r="M74" s="50"/>
      <c r="N74" s="51"/>
      <c r="O74" s="52"/>
      <c r="P74" s="161"/>
      <c r="Q74" s="157"/>
      <c r="R74" s="26"/>
      <c r="S74" s="223"/>
      <c r="T74" s="26"/>
      <c r="U74" s="53"/>
      <c r="V74" s="54"/>
      <c r="W74" s="11"/>
      <c r="X74" s="50"/>
      <c r="Y74" s="161"/>
      <c r="Z74" s="157"/>
      <c r="AA74" s="263"/>
      <c r="AB74" s="11"/>
      <c r="AC74" s="11"/>
      <c r="AD74" s="52"/>
      <c r="AE74" s="161"/>
      <c r="AF74" s="157"/>
      <c r="AG74" s="233"/>
      <c r="AH74" s="13">
        <f t="shared" si="0"/>
        <v>0</v>
      </c>
      <c r="AI74" s="87">
        <f t="shared" si="1"/>
        <v>10</v>
      </c>
      <c r="AJ74" s="27">
        <f t="shared" si="2"/>
        <v>-10</v>
      </c>
      <c r="AK74" s="63">
        <f t="shared" si="3"/>
        <v>0</v>
      </c>
      <c r="AL74" s="59"/>
      <c r="AM74" s="51"/>
      <c r="AN74" s="3"/>
      <c r="AO74" s="9">
        <f>$AN$2-AN74</f>
        <v>80.7</v>
      </c>
      <c r="AQ74" s="9">
        <f>$AP$2-AP74</f>
        <v>92</v>
      </c>
      <c r="AS74" s="9">
        <f>$AR$2-AR74</f>
        <v>95</v>
      </c>
      <c r="AU74" s="9">
        <f>$AT$2-AT74</f>
        <v>98</v>
      </c>
      <c r="AV74"/>
      <c r="AW74" s="9">
        <f>$AV$2-AV74</f>
        <v>58</v>
      </c>
      <c r="AY74" s="9">
        <f>$AX$2-AX74</f>
        <v>58</v>
      </c>
      <c r="AZ74"/>
      <c r="BA74" s="9">
        <f>$AZ$2-AZ74</f>
        <v>41</v>
      </c>
      <c r="BB74"/>
      <c r="BC74" s="9">
        <f>$BB$2-BB74</f>
        <v>41</v>
      </c>
      <c r="BD74"/>
      <c r="BE74" s="9">
        <f>$BD$2-BD74</f>
        <v>30</v>
      </c>
      <c r="BG74" s="37">
        <f>$BF$2-BF74</f>
        <v>30</v>
      </c>
    </row>
    <row r="75" spans="1:59" x14ac:dyDescent="0.25">
      <c r="A75" s="10"/>
      <c r="B75" s="1" t="s">
        <v>24</v>
      </c>
      <c r="C75" s="81">
        <v>42500</v>
      </c>
      <c r="D75" s="81"/>
      <c r="E75" s="3"/>
      <c r="F75" s="54"/>
      <c r="G75" s="2"/>
      <c r="H75" s="52"/>
      <c r="I75" s="161"/>
      <c r="J75" s="157"/>
      <c r="K75" s="258"/>
      <c r="L75" s="11">
        <v>6</v>
      </c>
      <c r="M75" s="50"/>
      <c r="N75" s="11"/>
      <c r="O75" s="52"/>
      <c r="P75" s="161">
        <v>143</v>
      </c>
      <c r="Q75" s="157"/>
      <c r="R75" s="26"/>
      <c r="S75" s="223"/>
      <c r="T75" s="26"/>
      <c r="U75" s="53"/>
      <c r="V75" s="54"/>
      <c r="W75" s="11"/>
      <c r="X75" s="50"/>
      <c r="Y75" s="161"/>
      <c r="Z75" s="157"/>
      <c r="AA75" s="263"/>
      <c r="AB75" s="11">
        <v>9</v>
      </c>
      <c r="AC75" s="2">
        <v>0.16388888888888889</v>
      </c>
      <c r="AD75" s="52"/>
      <c r="AE75" s="161">
        <v>170</v>
      </c>
      <c r="AF75" s="157"/>
      <c r="AG75" s="233"/>
      <c r="AH75" s="13">
        <f t="shared" si="0"/>
        <v>9</v>
      </c>
      <c r="AI75" s="87">
        <f t="shared" si="1"/>
        <v>15</v>
      </c>
      <c r="AJ75" s="27">
        <f t="shared" si="2"/>
        <v>-6</v>
      </c>
      <c r="AK75" s="63">
        <f t="shared" si="3"/>
        <v>0</v>
      </c>
      <c r="AL75" s="59"/>
      <c r="AM75" s="51"/>
      <c r="AN75" s="3"/>
      <c r="AV75"/>
      <c r="AZ75"/>
      <c r="BB75"/>
      <c r="BD75"/>
      <c r="BG75" s="37"/>
    </row>
    <row r="76" spans="1:59" x14ac:dyDescent="0.25">
      <c r="A76" s="10">
        <v>19</v>
      </c>
      <c r="B76" s="1" t="s">
        <v>15</v>
      </c>
      <c r="C76" s="81">
        <v>42501</v>
      </c>
      <c r="D76" s="81"/>
      <c r="E76" s="3">
        <v>10</v>
      </c>
      <c r="F76" s="54"/>
      <c r="G76" s="51"/>
      <c r="H76" s="52"/>
      <c r="I76" s="159">
        <v>129</v>
      </c>
      <c r="J76" s="157"/>
      <c r="K76" s="258"/>
      <c r="L76" s="11"/>
      <c r="M76" s="50"/>
      <c r="N76" s="2"/>
      <c r="O76" s="52"/>
      <c r="P76" s="161"/>
      <c r="Q76" s="157"/>
      <c r="R76" s="26"/>
      <c r="S76" s="223"/>
      <c r="T76" s="26"/>
      <c r="U76" s="53"/>
      <c r="V76" s="54"/>
      <c r="W76" s="51"/>
      <c r="X76" s="52"/>
      <c r="Y76" s="161"/>
      <c r="Z76" s="157"/>
      <c r="AA76" s="233"/>
      <c r="AB76" s="11"/>
      <c r="AC76" s="11"/>
      <c r="AD76" s="52"/>
      <c r="AE76" s="161"/>
      <c r="AF76" s="157"/>
      <c r="AG76" s="263"/>
      <c r="AH76" s="13">
        <f t="shared" si="0"/>
        <v>0</v>
      </c>
      <c r="AI76" s="87">
        <f t="shared" si="1"/>
        <v>10</v>
      </c>
      <c r="AJ76" s="27">
        <f t="shared" si="2"/>
        <v>-10</v>
      </c>
      <c r="AK76" s="63">
        <f t="shared" si="3"/>
        <v>0</v>
      </c>
      <c r="AL76" s="59"/>
      <c r="AM76" s="51"/>
      <c r="AN76" s="3"/>
      <c r="AO76" s="55"/>
      <c r="AP76" s="11"/>
      <c r="AQ76" s="55"/>
      <c r="AR76" s="11"/>
      <c r="AS76" s="55"/>
      <c r="AT76" s="11"/>
      <c r="AU76" s="55"/>
      <c r="AV76" s="11"/>
      <c r="AW76" s="55"/>
      <c r="AX76" s="11"/>
      <c r="AY76" s="55"/>
      <c r="AZ76" s="11"/>
      <c r="BA76" s="55"/>
      <c r="BB76" s="11"/>
      <c r="BC76" s="55"/>
      <c r="BD76" s="11"/>
      <c r="BE76" s="55"/>
      <c r="BF76" s="11"/>
      <c r="BG76" s="37"/>
    </row>
    <row r="77" spans="1:59" x14ac:dyDescent="0.25">
      <c r="A77" s="10"/>
      <c r="B77" s="1" t="s">
        <v>26</v>
      </c>
      <c r="C77" s="81">
        <v>42502</v>
      </c>
      <c r="D77" s="81"/>
      <c r="E77" s="3">
        <v>12</v>
      </c>
      <c r="F77" s="54"/>
      <c r="G77" s="2">
        <v>0.20694444444444446</v>
      </c>
      <c r="H77" s="52"/>
      <c r="I77" s="161">
        <v>143</v>
      </c>
      <c r="J77" s="157"/>
      <c r="K77" s="258"/>
      <c r="L77" s="11"/>
      <c r="M77" s="50"/>
      <c r="N77" s="2"/>
      <c r="O77" s="52"/>
      <c r="P77" s="161"/>
      <c r="Q77" s="157"/>
      <c r="R77" s="26"/>
      <c r="S77" s="223"/>
      <c r="T77" s="26"/>
      <c r="U77" s="53"/>
      <c r="V77" s="54"/>
      <c r="W77" s="51"/>
      <c r="X77" s="52"/>
      <c r="Y77" s="161"/>
      <c r="Z77" s="157"/>
      <c r="AA77" s="233"/>
      <c r="AB77" s="11"/>
      <c r="AC77" s="11"/>
      <c r="AD77" s="52"/>
      <c r="AE77" s="161"/>
      <c r="AF77" s="157"/>
      <c r="AG77" s="263"/>
      <c r="AH77" s="13">
        <f t="shared" si="0"/>
        <v>0</v>
      </c>
      <c r="AI77" s="87">
        <f t="shared" si="1"/>
        <v>12</v>
      </c>
      <c r="AJ77" s="27">
        <f t="shared" si="2"/>
        <v>-12</v>
      </c>
      <c r="AK77" s="63">
        <f t="shared" si="3"/>
        <v>0</v>
      </c>
      <c r="AL77" s="59"/>
      <c r="AM77" s="51"/>
      <c r="AN77" s="3"/>
      <c r="AO77" s="55"/>
      <c r="AP77" s="11"/>
      <c r="AQ77" s="55"/>
      <c r="AR77" s="11"/>
      <c r="AS77" s="55"/>
      <c r="AT77" s="11"/>
      <c r="AU77" s="55"/>
      <c r="AV77" s="11"/>
      <c r="AW77" s="55"/>
      <c r="AX77" s="11"/>
      <c r="AY77" s="55"/>
      <c r="AZ77" s="11"/>
      <c r="BA77" s="55"/>
      <c r="BB77" s="11"/>
      <c r="BC77" s="55"/>
      <c r="BD77" s="11"/>
      <c r="BE77" s="55"/>
      <c r="BF77" s="11"/>
      <c r="BG77" s="37"/>
    </row>
    <row r="78" spans="1:59" x14ac:dyDescent="0.25">
      <c r="A78" s="10"/>
      <c r="B78" s="1" t="s">
        <v>29</v>
      </c>
      <c r="C78" s="81">
        <v>42503</v>
      </c>
      <c r="D78" s="81"/>
      <c r="E78" s="3">
        <v>17</v>
      </c>
      <c r="F78" s="54"/>
      <c r="G78" s="2">
        <v>0.20694444444444446</v>
      </c>
      <c r="H78" s="52"/>
      <c r="I78" s="161">
        <v>143</v>
      </c>
      <c r="J78" s="157"/>
      <c r="K78" s="258"/>
      <c r="L78" s="11"/>
      <c r="M78" s="50"/>
      <c r="N78" s="2"/>
      <c r="O78" s="52"/>
      <c r="P78" s="161"/>
      <c r="Q78" s="157"/>
      <c r="R78" s="26"/>
      <c r="S78" s="223"/>
      <c r="T78" s="26"/>
      <c r="U78" s="53"/>
      <c r="V78" s="54"/>
      <c r="W78" s="51"/>
      <c r="X78" s="52"/>
      <c r="Y78" s="161"/>
      <c r="Z78" s="157"/>
      <c r="AA78" s="233"/>
      <c r="AB78" s="11">
        <v>4</v>
      </c>
      <c r="AC78" s="51">
        <v>0.1763888888888889</v>
      </c>
      <c r="AD78" s="52"/>
      <c r="AE78" s="161">
        <v>157</v>
      </c>
      <c r="AF78" s="157"/>
      <c r="AG78" s="233"/>
      <c r="AH78" s="13">
        <f t="shared" si="0"/>
        <v>4</v>
      </c>
      <c r="AI78" s="87">
        <f t="shared" si="1"/>
        <v>21</v>
      </c>
      <c r="AJ78" s="27">
        <f t="shared" si="2"/>
        <v>-17</v>
      </c>
      <c r="AK78" s="63">
        <f t="shared" si="3"/>
        <v>0</v>
      </c>
      <c r="AL78" s="59"/>
      <c r="AM78" s="51"/>
      <c r="AN78" s="3"/>
      <c r="AO78" s="55"/>
      <c r="AP78" s="11"/>
      <c r="AQ78" s="55"/>
      <c r="AR78" s="11"/>
      <c r="AS78" s="55"/>
      <c r="AT78" s="11"/>
      <c r="AU78" s="55"/>
      <c r="AV78" s="11"/>
      <c r="AW78" s="55"/>
      <c r="AX78" s="11"/>
      <c r="AY78" s="55"/>
      <c r="AZ78" s="11"/>
      <c r="BA78" s="55"/>
      <c r="BB78" s="11"/>
      <c r="BC78" s="55"/>
      <c r="BD78" s="11"/>
      <c r="BE78" s="55"/>
      <c r="BF78" s="11"/>
      <c r="BG78" s="37"/>
    </row>
    <row r="79" spans="1:59" x14ac:dyDescent="0.25">
      <c r="A79" s="56"/>
      <c r="B79" s="17" t="s">
        <v>27</v>
      </c>
      <c r="C79" s="85">
        <v>42505</v>
      </c>
      <c r="D79" s="85"/>
      <c r="E79" s="19">
        <v>27</v>
      </c>
      <c r="F79" s="42"/>
      <c r="G79" s="21">
        <v>0.20694444444444446</v>
      </c>
      <c r="H79" s="22"/>
      <c r="I79" s="160">
        <v>143</v>
      </c>
      <c r="J79" s="156"/>
      <c r="K79" s="259"/>
      <c r="L79" s="18"/>
      <c r="M79" s="20"/>
      <c r="N79" s="18"/>
      <c r="O79" s="20"/>
      <c r="P79" s="160"/>
      <c r="Q79" s="156"/>
      <c r="R79" s="18"/>
      <c r="S79" s="224"/>
      <c r="T79" s="84"/>
      <c r="U79" s="31"/>
      <c r="V79" s="42"/>
      <c r="W79" s="21"/>
      <c r="X79" s="22"/>
      <c r="Y79" s="160"/>
      <c r="Z79" s="156"/>
      <c r="AA79" s="265"/>
      <c r="AB79" s="18">
        <v>5</v>
      </c>
      <c r="AC79" s="21">
        <v>0.1763888888888889</v>
      </c>
      <c r="AD79" s="22"/>
      <c r="AE79" s="160">
        <v>157</v>
      </c>
      <c r="AF79" s="156"/>
      <c r="AG79" s="266"/>
      <c r="AH79" s="20">
        <f t="shared" ref="AH79:AH95" si="4">F79+M79+V79+AB79+S79</f>
        <v>5</v>
      </c>
      <c r="AI79" s="88">
        <f t="shared" ref="AI79:AI96" si="5">E79+L79+V79+AB79+S79</f>
        <v>32</v>
      </c>
      <c r="AJ79" s="34">
        <f t="shared" si="2"/>
        <v>-27</v>
      </c>
      <c r="AK79" s="58">
        <f t="shared" ref="AK79:AK96" si="6">K79+R79+AA79+AG79+T79</f>
        <v>0</v>
      </c>
      <c r="AL79" s="57">
        <f>SUM(AH74:AH79)</f>
        <v>18</v>
      </c>
      <c r="AM79" s="21">
        <f>SUM(AK74:AK79)</f>
        <v>0</v>
      </c>
      <c r="AN79" s="19"/>
      <c r="AO79" s="36"/>
      <c r="AP79" s="18"/>
      <c r="AQ79" s="36"/>
      <c r="AR79" s="18"/>
      <c r="AS79" s="36"/>
      <c r="AT79" s="18"/>
      <c r="AU79" s="36"/>
      <c r="AV79" s="18"/>
      <c r="AW79" s="36"/>
      <c r="AX79" s="18"/>
      <c r="AY79" s="36"/>
      <c r="AZ79" s="18"/>
      <c r="BA79" s="36"/>
      <c r="BB79" s="18"/>
      <c r="BC79" s="36"/>
      <c r="BD79" s="18"/>
      <c r="BE79" s="36"/>
      <c r="BF79" s="18"/>
      <c r="BG79" s="38"/>
    </row>
    <row r="80" spans="1:59" x14ac:dyDescent="0.25">
      <c r="A80" s="10"/>
      <c r="B80" s="1" t="s">
        <v>0</v>
      </c>
      <c r="C80" s="81">
        <v>42506</v>
      </c>
      <c r="D80" s="81"/>
      <c r="E80" s="3">
        <v>10</v>
      </c>
      <c r="F80" s="54"/>
      <c r="G80" s="2"/>
      <c r="H80" s="52"/>
      <c r="I80" s="159">
        <v>129</v>
      </c>
      <c r="J80" s="157"/>
      <c r="K80" s="258"/>
      <c r="L80" s="11"/>
      <c r="M80" s="50"/>
      <c r="N80" s="11"/>
      <c r="O80" s="50"/>
      <c r="P80" s="161"/>
      <c r="Q80" s="157"/>
      <c r="R80" s="11"/>
      <c r="S80" s="223"/>
      <c r="T80" s="26"/>
      <c r="U80" s="53"/>
      <c r="V80" s="54"/>
      <c r="W80" s="51"/>
      <c r="X80" s="52"/>
      <c r="Y80" s="161"/>
      <c r="Z80" s="157"/>
      <c r="AA80" s="233"/>
      <c r="AB80" s="11"/>
      <c r="AC80" s="11"/>
      <c r="AD80" s="50"/>
      <c r="AE80" s="161"/>
      <c r="AF80" s="157"/>
      <c r="AG80" s="263"/>
      <c r="AH80" s="188">
        <f t="shared" si="4"/>
        <v>0</v>
      </c>
      <c r="AI80" s="87">
        <f t="shared" si="5"/>
        <v>10</v>
      </c>
      <c r="AJ80" s="27">
        <f t="shared" si="2"/>
        <v>-10</v>
      </c>
      <c r="AK80" s="63">
        <f t="shared" si="6"/>
        <v>0</v>
      </c>
      <c r="AL80" s="59"/>
      <c r="AM80" s="51"/>
      <c r="AN80" s="3"/>
      <c r="AO80" s="9">
        <f>$AN$2-AN80</f>
        <v>80.7</v>
      </c>
      <c r="AQ80" s="9">
        <f>$AP$2-AP80</f>
        <v>92</v>
      </c>
      <c r="AS80" s="9">
        <f>$AR$2-AR80</f>
        <v>95</v>
      </c>
      <c r="AU80" s="9">
        <f>$AT$2-AT80</f>
        <v>98</v>
      </c>
      <c r="AV80"/>
      <c r="AW80" s="9">
        <f>$AV$2-AV80</f>
        <v>58</v>
      </c>
      <c r="AY80" s="9">
        <f>$AX$2-AX80</f>
        <v>58</v>
      </c>
      <c r="AZ80"/>
      <c r="BA80" s="9">
        <f>$AZ$2-AZ80</f>
        <v>41</v>
      </c>
      <c r="BB80"/>
      <c r="BC80" s="9">
        <f>$BB$2-BB80</f>
        <v>41</v>
      </c>
      <c r="BD80"/>
      <c r="BE80" s="9">
        <f>$BD$2-BD80</f>
        <v>30</v>
      </c>
      <c r="BG80" s="37">
        <f>$BF$2-BF80</f>
        <v>30</v>
      </c>
    </row>
    <row r="81" spans="1:59" x14ac:dyDescent="0.25">
      <c r="A81" s="10"/>
      <c r="B81" s="1" t="s">
        <v>24</v>
      </c>
      <c r="C81" s="81">
        <v>42507</v>
      </c>
      <c r="D81" s="81"/>
      <c r="E81" s="3"/>
      <c r="F81" s="54"/>
      <c r="G81" s="2"/>
      <c r="H81" s="52"/>
      <c r="I81" s="161"/>
      <c r="J81" s="157"/>
      <c r="K81" s="258"/>
      <c r="L81" s="11">
        <v>4</v>
      </c>
      <c r="M81" s="50"/>
      <c r="N81" s="11"/>
      <c r="O81" s="50"/>
      <c r="P81" s="161">
        <v>143</v>
      </c>
      <c r="Q81" s="157"/>
      <c r="R81" s="26"/>
      <c r="S81" s="223"/>
      <c r="T81" s="26"/>
      <c r="U81" s="53"/>
      <c r="V81" s="54"/>
      <c r="W81" s="51"/>
      <c r="X81" s="52"/>
      <c r="Y81" s="161"/>
      <c r="Z81" s="157"/>
      <c r="AA81" s="233"/>
      <c r="AB81" s="11">
        <v>9</v>
      </c>
      <c r="AC81" s="51">
        <v>0.1763888888888889</v>
      </c>
      <c r="AD81" s="52"/>
      <c r="AE81" s="161">
        <v>157</v>
      </c>
      <c r="AF81" s="157"/>
      <c r="AG81" s="233"/>
      <c r="AH81" s="50">
        <f t="shared" si="4"/>
        <v>9</v>
      </c>
      <c r="AI81" s="87">
        <f t="shared" si="5"/>
        <v>13</v>
      </c>
      <c r="AJ81" s="27">
        <f t="shared" si="2"/>
        <v>-4</v>
      </c>
      <c r="AK81" s="63">
        <f t="shared" si="6"/>
        <v>0</v>
      </c>
      <c r="AL81" s="59"/>
      <c r="AM81" s="51"/>
      <c r="AN81" s="3"/>
      <c r="AV81"/>
      <c r="AZ81"/>
      <c r="BB81"/>
      <c r="BD81"/>
      <c r="BG81" s="37"/>
    </row>
    <row r="82" spans="1:59" x14ac:dyDescent="0.25">
      <c r="A82" s="10">
        <v>20</v>
      </c>
      <c r="B82" s="1" t="s">
        <v>15</v>
      </c>
      <c r="C82" s="81">
        <v>42508</v>
      </c>
      <c r="D82" s="81"/>
      <c r="E82" s="3">
        <v>10</v>
      </c>
      <c r="F82" s="54"/>
      <c r="G82" s="51"/>
      <c r="H82" s="52"/>
      <c r="I82" s="159">
        <v>129</v>
      </c>
      <c r="J82" s="157"/>
      <c r="K82" s="258"/>
      <c r="L82" s="11"/>
      <c r="M82" s="50"/>
      <c r="N82" s="2"/>
      <c r="O82" s="52"/>
      <c r="P82" s="161"/>
      <c r="Q82" s="157"/>
      <c r="R82" s="26"/>
      <c r="S82" s="223"/>
      <c r="T82" s="26"/>
      <c r="U82" s="53"/>
      <c r="V82" s="54"/>
      <c r="W82" s="51"/>
      <c r="X82" s="52"/>
      <c r="Y82" s="161"/>
      <c r="Z82" s="157"/>
      <c r="AA82" s="233"/>
      <c r="AB82" s="11"/>
      <c r="AC82" s="11"/>
      <c r="AD82" s="50"/>
      <c r="AE82" s="161"/>
      <c r="AF82" s="157"/>
      <c r="AG82" s="263"/>
      <c r="AH82" s="50">
        <f t="shared" si="4"/>
        <v>0</v>
      </c>
      <c r="AI82" s="87">
        <f t="shared" si="5"/>
        <v>10</v>
      </c>
      <c r="AJ82" s="27">
        <f t="shared" si="2"/>
        <v>-10</v>
      </c>
      <c r="AK82" s="63">
        <f t="shared" si="6"/>
        <v>0</v>
      </c>
      <c r="AL82" s="59"/>
      <c r="AM82" s="51"/>
      <c r="AN82" s="3"/>
      <c r="AO82" s="55"/>
      <c r="AP82" s="11"/>
      <c r="AQ82" s="55"/>
      <c r="AR82" s="11"/>
      <c r="AS82" s="55"/>
      <c r="AT82" s="11"/>
      <c r="AU82" s="55"/>
      <c r="AV82" s="11"/>
      <c r="AW82" s="55"/>
      <c r="AX82" s="11"/>
      <c r="AY82" s="55"/>
      <c r="AZ82" s="11"/>
      <c r="BA82" s="55"/>
      <c r="BB82" s="11"/>
      <c r="BC82" s="55"/>
      <c r="BD82" s="11"/>
      <c r="BE82" s="55"/>
      <c r="BF82" s="11"/>
      <c r="BG82" s="37"/>
    </row>
    <row r="83" spans="1:59" x14ac:dyDescent="0.25">
      <c r="A83" s="10"/>
      <c r="B83" s="1" t="s">
        <v>26</v>
      </c>
      <c r="C83" s="81">
        <v>42509</v>
      </c>
      <c r="D83" s="81"/>
      <c r="E83" s="3">
        <v>10</v>
      </c>
      <c r="F83" s="54"/>
      <c r="G83" s="2">
        <v>0.20694444444444446</v>
      </c>
      <c r="H83" s="52"/>
      <c r="I83" s="161">
        <v>143</v>
      </c>
      <c r="J83" s="157"/>
      <c r="K83" s="258"/>
      <c r="L83" s="11"/>
      <c r="M83" s="50"/>
      <c r="N83" s="2"/>
      <c r="O83" s="52"/>
      <c r="P83" s="161"/>
      <c r="Q83" s="157"/>
      <c r="R83" s="26"/>
      <c r="S83" s="223"/>
      <c r="T83" s="26"/>
      <c r="U83" s="53"/>
      <c r="V83" s="54"/>
      <c r="W83" s="51"/>
      <c r="X83" s="52"/>
      <c r="Y83" s="161"/>
      <c r="Z83" s="157"/>
      <c r="AA83" s="233"/>
      <c r="AB83" s="11"/>
      <c r="AC83" s="11"/>
      <c r="AD83" s="50"/>
      <c r="AE83" s="161"/>
      <c r="AF83" s="157"/>
      <c r="AG83" s="263"/>
      <c r="AH83" s="13">
        <f t="shared" si="4"/>
        <v>0</v>
      </c>
      <c r="AI83" s="87">
        <f t="shared" si="5"/>
        <v>10</v>
      </c>
      <c r="AJ83" s="27">
        <f t="shared" si="2"/>
        <v>-10</v>
      </c>
      <c r="AK83" s="63">
        <f t="shared" si="6"/>
        <v>0</v>
      </c>
      <c r="AL83" s="59"/>
      <c r="AM83" s="51"/>
      <c r="AN83" s="3"/>
      <c r="AO83" s="55"/>
      <c r="AP83" s="11"/>
      <c r="AQ83" s="55"/>
      <c r="AR83" s="11"/>
      <c r="AS83" s="55"/>
      <c r="AT83" s="11"/>
      <c r="AU83" s="55"/>
      <c r="AV83" s="11"/>
      <c r="AW83" s="55"/>
      <c r="AX83" s="11"/>
      <c r="AY83" s="55"/>
      <c r="AZ83" s="11"/>
      <c r="BA83" s="55"/>
      <c r="BB83" s="11"/>
      <c r="BC83" s="55"/>
      <c r="BD83" s="11"/>
      <c r="BE83" s="55"/>
      <c r="BF83" s="11"/>
      <c r="BG83" s="37"/>
    </row>
    <row r="84" spans="1:59" x14ac:dyDescent="0.25">
      <c r="A84" s="10"/>
      <c r="B84" s="1" t="s">
        <v>29</v>
      </c>
      <c r="C84" s="81">
        <v>42510</v>
      </c>
      <c r="D84" s="81"/>
      <c r="E84" s="3">
        <v>10</v>
      </c>
      <c r="F84" s="54"/>
      <c r="G84" s="2">
        <v>0.20694444444444446</v>
      </c>
      <c r="H84" s="52"/>
      <c r="I84" s="161">
        <v>143</v>
      </c>
      <c r="J84" s="157"/>
      <c r="K84" s="258"/>
      <c r="L84" s="11"/>
      <c r="M84" s="50"/>
      <c r="N84" s="2"/>
      <c r="O84" s="52"/>
      <c r="P84" s="161"/>
      <c r="Q84" s="157"/>
      <c r="R84" s="26"/>
      <c r="S84" s="223"/>
      <c r="T84" s="26"/>
      <c r="U84" s="53"/>
      <c r="V84" s="54"/>
      <c r="W84" s="51"/>
      <c r="X84" s="52"/>
      <c r="Y84" s="161"/>
      <c r="Z84" s="157"/>
      <c r="AA84" s="233"/>
      <c r="AB84" s="11">
        <v>6</v>
      </c>
      <c r="AC84" s="51">
        <v>0.1763888888888889</v>
      </c>
      <c r="AD84" s="52"/>
      <c r="AE84" s="161">
        <v>157</v>
      </c>
      <c r="AF84" s="157"/>
      <c r="AG84" s="233"/>
      <c r="AH84" s="50">
        <f t="shared" si="4"/>
        <v>6</v>
      </c>
      <c r="AI84" s="87">
        <f t="shared" si="5"/>
        <v>16</v>
      </c>
      <c r="AJ84" s="27">
        <f t="shared" si="2"/>
        <v>-10</v>
      </c>
      <c r="AK84" s="63">
        <f t="shared" si="6"/>
        <v>0</v>
      </c>
      <c r="AL84" s="59"/>
      <c r="AM84" s="51"/>
      <c r="AN84" s="3"/>
      <c r="AO84" s="55"/>
      <c r="AP84" s="11"/>
      <c r="AQ84" s="55"/>
      <c r="AR84" s="11"/>
      <c r="AS84" s="55"/>
      <c r="AT84" s="11"/>
      <c r="AU84" s="55"/>
      <c r="AV84" s="11"/>
      <c r="AW84" s="55"/>
      <c r="AX84" s="11"/>
      <c r="AY84" s="55"/>
      <c r="AZ84" s="11"/>
      <c r="BA84" s="55"/>
      <c r="BB84" s="11"/>
      <c r="BC84" s="55"/>
      <c r="BD84" s="11"/>
      <c r="BE84" s="55"/>
      <c r="BF84" s="11"/>
      <c r="BG84" s="37"/>
    </row>
    <row r="85" spans="1:59" x14ac:dyDescent="0.25">
      <c r="A85" s="56"/>
      <c r="B85" s="17" t="s">
        <v>27</v>
      </c>
      <c r="C85" s="85">
        <v>42512</v>
      </c>
      <c r="D85" s="85" t="s">
        <v>289</v>
      </c>
      <c r="E85" s="19">
        <v>16</v>
      </c>
      <c r="F85" s="42"/>
      <c r="G85" s="21">
        <v>0.20694444444444446</v>
      </c>
      <c r="H85" s="22"/>
      <c r="I85" s="160">
        <v>143</v>
      </c>
      <c r="J85" s="156"/>
      <c r="K85" s="259"/>
      <c r="L85" s="18"/>
      <c r="M85" s="20"/>
      <c r="N85" s="18"/>
      <c r="O85" s="20"/>
      <c r="P85" s="160"/>
      <c r="Q85" s="156"/>
      <c r="R85" s="18"/>
      <c r="S85" s="224"/>
      <c r="T85" s="84"/>
      <c r="U85" s="31"/>
      <c r="V85" s="42"/>
      <c r="W85" s="18"/>
      <c r="X85" s="20"/>
      <c r="Y85" s="160"/>
      <c r="Z85" s="156"/>
      <c r="AA85" s="265"/>
      <c r="AB85" s="18">
        <v>8</v>
      </c>
      <c r="AC85" s="21">
        <v>0.1763888888888889</v>
      </c>
      <c r="AD85" s="22"/>
      <c r="AE85" s="160">
        <v>157</v>
      </c>
      <c r="AF85" s="156"/>
      <c r="AG85" s="266"/>
      <c r="AH85" s="20">
        <f t="shared" si="4"/>
        <v>8</v>
      </c>
      <c r="AI85" s="88">
        <f t="shared" si="5"/>
        <v>24</v>
      </c>
      <c r="AJ85" s="34">
        <f t="shared" si="2"/>
        <v>-16</v>
      </c>
      <c r="AK85" s="58">
        <f t="shared" si="6"/>
        <v>0</v>
      </c>
      <c r="AL85" s="57">
        <f>SUM(AH80:AH85)</f>
        <v>23</v>
      </c>
      <c r="AM85" s="21">
        <f>SUM(AK80:AK85)</f>
        <v>0</v>
      </c>
      <c r="AN85" s="19"/>
      <c r="AO85" s="36"/>
      <c r="AP85" s="18"/>
      <c r="AQ85" s="36"/>
      <c r="AR85" s="18"/>
      <c r="AS85" s="36"/>
      <c r="AT85" s="18"/>
      <c r="AU85" s="36"/>
      <c r="AV85" s="18"/>
      <c r="AW85" s="36"/>
      <c r="AX85" s="18"/>
      <c r="AY85" s="36"/>
      <c r="AZ85" s="18"/>
      <c r="BA85" s="36"/>
      <c r="BB85" s="18"/>
      <c r="BC85" s="36"/>
      <c r="BD85" s="18"/>
      <c r="BE85" s="36"/>
      <c r="BF85" s="18"/>
      <c r="BG85" s="38"/>
    </row>
    <row r="86" spans="1:59" x14ac:dyDescent="0.25">
      <c r="A86" s="10"/>
      <c r="B86" s="1" t="s">
        <v>0</v>
      </c>
      <c r="C86" s="81">
        <v>42513</v>
      </c>
      <c r="D86" s="81"/>
      <c r="E86" s="3">
        <v>10</v>
      </c>
      <c r="F86" s="54"/>
      <c r="G86" s="51"/>
      <c r="H86" s="52"/>
      <c r="I86" s="159">
        <v>143</v>
      </c>
      <c r="J86" s="157"/>
      <c r="K86" s="258"/>
      <c r="L86" s="11"/>
      <c r="M86" s="50"/>
      <c r="N86" s="11"/>
      <c r="O86" s="50"/>
      <c r="P86" s="161"/>
      <c r="Q86" s="157"/>
      <c r="R86" s="11"/>
      <c r="S86" s="223"/>
      <c r="T86" s="26"/>
      <c r="U86" s="53"/>
      <c r="V86" s="54"/>
      <c r="W86" s="11"/>
      <c r="X86" s="50"/>
      <c r="Y86" s="161"/>
      <c r="Z86" s="157"/>
      <c r="AA86" s="263"/>
      <c r="AB86" s="11"/>
      <c r="AC86" s="11"/>
      <c r="AD86" s="50"/>
      <c r="AE86" s="161"/>
      <c r="AF86" s="157"/>
      <c r="AG86" s="263"/>
      <c r="AH86" s="188">
        <f t="shared" si="4"/>
        <v>0</v>
      </c>
      <c r="AI86" s="87">
        <f t="shared" si="5"/>
        <v>10</v>
      </c>
      <c r="AJ86" s="27">
        <f t="shared" si="2"/>
        <v>-10</v>
      </c>
      <c r="AK86" s="63">
        <f t="shared" si="6"/>
        <v>0</v>
      </c>
      <c r="AL86" s="59"/>
      <c r="AM86" s="51"/>
      <c r="AN86" s="3"/>
      <c r="AO86" s="9">
        <f>$AN$2-AN86</f>
        <v>80.7</v>
      </c>
      <c r="AQ86" s="9">
        <f>$AP$2-AP86</f>
        <v>92</v>
      </c>
      <c r="AS86" s="9">
        <f>$AR$2-AR86</f>
        <v>95</v>
      </c>
      <c r="AU86" s="9">
        <f>$AT$2-AT86</f>
        <v>98</v>
      </c>
      <c r="AV86"/>
      <c r="AW86" s="9">
        <f>$AV$2-AV86</f>
        <v>58</v>
      </c>
      <c r="AY86" s="9">
        <f>$AX$2-AX86</f>
        <v>58</v>
      </c>
      <c r="AZ86"/>
      <c r="BA86" s="9">
        <f>$AZ$2-AZ86</f>
        <v>41</v>
      </c>
      <c r="BB86"/>
      <c r="BC86" s="9">
        <f>$BB$2-BB86</f>
        <v>41</v>
      </c>
      <c r="BD86"/>
      <c r="BE86" s="9">
        <f>$BD$2-BD86</f>
        <v>30</v>
      </c>
      <c r="BG86" s="37">
        <f>$BF$2-BF86</f>
        <v>30</v>
      </c>
    </row>
    <row r="87" spans="1:59" x14ac:dyDescent="0.25">
      <c r="A87" s="10"/>
      <c r="B87" s="1" t="s">
        <v>24</v>
      </c>
      <c r="C87" s="81">
        <v>42514</v>
      </c>
      <c r="D87" s="81"/>
      <c r="E87" s="3"/>
      <c r="F87" s="54"/>
      <c r="G87" s="51"/>
      <c r="H87" s="52"/>
      <c r="I87" s="161"/>
      <c r="J87" s="157"/>
      <c r="K87" s="258"/>
      <c r="L87" s="11">
        <v>4</v>
      </c>
      <c r="M87" s="50"/>
      <c r="N87" s="11"/>
      <c r="O87" s="52"/>
      <c r="P87" s="161">
        <v>143</v>
      </c>
      <c r="Q87" s="157"/>
      <c r="R87" s="26"/>
      <c r="S87" s="223"/>
      <c r="T87" s="26"/>
      <c r="U87" s="53"/>
      <c r="V87" s="54"/>
      <c r="W87" s="51"/>
      <c r="X87" s="52"/>
      <c r="Y87" s="161"/>
      <c r="Z87" s="157"/>
      <c r="AA87" s="233"/>
      <c r="AB87" s="11">
        <v>7</v>
      </c>
      <c r="AC87" s="51">
        <v>0.1763888888888889</v>
      </c>
      <c r="AD87" s="52"/>
      <c r="AE87" s="161">
        <v>157</v>
      </c>
      <c r="AF87" s="157"/>
      <c r="AG87" s="233"/>
      <c r="AH87" s="50">
        <f t="shared" si="4"/>
        <v>7</v>
      </c>
      <c r="AI87" s="87">
        <f t="shared" si="5"/>
        <v>11</v>
      </c>
      <c r="AJ87" s="27">
        <f t="shared" si="2"/>
        <v>-4</v>
      </c>
      <c r="AK87" s="63">
        <f t="shared" si="6"/>
        <v>0</v>
      </c>
      <c r="AL87" s="59"/>
      <c r="AM87" s="51"/>
      <c r="AN87" s="3"/>
      <c r="AO87" s="55"/>
      <c r="AP87" s="11"/>
      <c r="AQ87" s="55"/>
      <c r="AR87" s="11"/>
      <c r="AS87" s="55"/>
      <c r="AT87" s="11"/>
      <c r="AU87" s="55"/>
      <c r="AV87" s="11"/>
      <c r="AW87" s="55"/>
      <c r="AX87" s="11"/>
      <c r="AY87" s="55"/>
      <c r="AZ87" s="11"/>
      <c r="BA87" s="55"/>
      <c r="BB87" s="11"/>
      <c r="BC87" s="55"/>
      <c r="BD87" s="11"/>
      <c r="BE87" s="55"/>
      <c r="BF87" s="11"/>
      <c r="BG87" s="37"/>
    </row>
    <row r="88" spans="1:59" x14ac:dyDescent="0.25">
      <c r="A88" s="10">
        <v>21</v>
      </c>
      <c r="B88" s="1" t="s">
        <v>15</v>
      </c>
      <c r="C88" s="81">
        <v>42515</v>
      </c>
      <c r="D88" s="81"/>
      <c r="E88" s="3">
        <v>10</v>
      </c>
      <c r="F88" s="54"/>
      <c r="G88" s="51"/>
      <c r="H88" s="52"/>
      <c r="I88" s="161">
        <v>129</v>
      </c>
      <c r="J88" s="157"/>
      <c r="K88" s="258"/>
      <c r="L88" s="11"/>
      <c r="M88" s="50"/>
      <c r="N88" s="11"/>
      <c r="O88" s="50"/>
      <c r="P88" s="161"/>
      <c r="Q88" s="157"/>
      <c r="R88" s="11"/>
      <c r="S88" s="223"/>
      <c r="T88" s="26"/>
      <c r="U88" s="53"/>
      <c r="V88" s="54"/>
      <c r="W88" s="11"/>
      <c r="X88" s="50"/>
      <c r="Y88" s="161"/>
      <c r="Z88" s="157"/>
      <c r="AA88" s="263"/>
      <c r="AB88" s="27"/>
      <c r="AC88" s="51"/>
      <c r="AD88" s="52"/>
      <c r="AE88" s="161"/>
      <c r="AF88" s="157"/>
      <c r="AG88" s="233"/>
      <c r="AH88" s="50">
        <f t="shared" si="4"/>
        <v>0</v>
      </c>
      <c r="AI88" s="87">
        <f t="shared" si="5"/>
        <v>10</v>
      </c>
      <c r="AJ88" s="27">
        <f t="shared" si="2"/>
        <v>-10</v>
      </c>
      <c r="AK88" s="63">
        <f t="shared" si="6"/>
        <v>0</v>
      </c>
      <c r="AL88" s="59"/>
      <c r="AM88" s="51"/>
      <c r="AN88" s="3"/>
      <c r="AO88" s="55"/>
      <c r="AP88" s="11"/>
      <c r="AQ88" s="55"/>
      <c r="AR88" s="11"/>
      <c r="AS88" s="55"/>
      <c r="AT88" s="11"/>
      <c r="AU88" s="55"/>
      <c r="AV88" s="11"/>
      <c r="AW88" s="55"/>
      <c r="AX88" s="11"/>
      <c r="AY88" s="55"/>
      <c r="AZ88" s="11"/>
      <c r="BA88" s="55"/>
      <c r="BB88" s="11"/>
      <c r="BC88" s="55"/>
      <c r="BD88" s="11"/>
      <c r="BE88" s="55"/>
      <c r="BF88" s="11"/>
      <c r="BG88" s="37"/>
    </row>
    <row r="89" spans="1:59" x14ac:dyDescent="0.25">
      <c r="A89" s="10"/>
      <c r="B89" s="1" t="s">
        <v>26</v>
      </c>
      <c r="C89" s="81">
        <v>42516</v>
      </c>
      <c r="D89" s="81"/>
      <c r="E89" s="3">
        <v>6</v>
      </c>
      <c r="F89" s="54"/>
      <c r="G89" s="2">
        <v>0.20694444444444446</v>
      </c>
      <c r="H89" s="52"/>
      <c r="I89" s="161">
        <v>143</v>
      </c>
      <c r="J89" s="157"/>
      <c r="K89" s="258"/>
      <c r="L89" s="11"/>
      <c r="M89" s="50"/>
      <c r="N89" s="11"/>
      <c r="O89" s="50"/>
      <c r="P89" s="161"/>
      <c r="Q89" s="157"/>
      <c r="R89" s="11"/>
      <c r="S89" s="223"/>
      <c r="T89" s="26"/>
      <c r="U89" s="53"/>
      <c r="V89" s="54"/>
      <c r="W89" s="11"/>
      <c r="X89" s="50"/>
      <c r="Y89" s="161"/>
      <c r="Z89" s="157"/>
      <c r="AA89" s="263"/>
      <c r="AB89" s="11">
        <v>4</v>
      </c>
      <c r="AC89" s="51">
        <v>0.1763888888888889</v>
      </c>
      <c r="AD89" s="52"/>
      <c r="AE89" s="161">
        <v>157</v>
      </c>
      <c r="AF89" s="157"/>
      <c r="AG89" s="233"/>
      <c r="AH89" s="13">
        <f t="shared" si="4"/>
        <v>4</v>
      </c>
      <c r="AI89" s="87">
        <f t="shared" si="5"/>
        <v>10</v>
      </c>
      <c r="AJ89" s="27">
        <f t="shared" si="2"/>
        <v>-6</v>
      </c>
      <c r="AK89" s="63">
        <f t="shared" si="6"/>
        <v>0</v>
      </c>
      <c r="AL89" s="59"/>
      <c r="AM89" s="51"/>
      <c r="AN89" s="3"/>
      <c r="AO89" s="55"/>
      <c r="AP89" s="11"/>
      <c r="AQ89" s="55"/>
      <c r="AR89" s="11"/>
      <c r="AS89" s="55"/>
      <c r="AT89" s="11"/>
      <c r="AU89" s="55"/>
      <c r="AV89" s="11"/>
      <c r="AW89" s="55"/>
      <c r="AX89" s="11"/>
      <c r="AY89" s="55"/>
      <c r="AZ89" s="11"/>
      <c r="BA89" s="55"/>
      <c r="BB89" s="11"/>
      <c r="BC89" s="55"/>
      <c r="BD89" s="11"/>
      <c r="BE89" s="55"/>
      <c r="BF89" s="11"/>
      <c r="BG89" s="37"/>
    </row>
    <row r="90" spans="1:59" x14ac:dyDescent="0.25">
      <c r="A90" s="10"/>
      <c r="B90" s="1" t="s">
        <v>29</v>
      </c>
      <c r="C90" s="81">
        <v>42517</v>
      </c>
      <c r="D90" s="81"/>
      <c r="E90" s="3"/>
      <c r="F90" s="54"/>
      <c r="G90" s="51"/>
      <c r="H90" s="52"/>
      <c r="I90" s="161"/>
      <c r="J90" s="157"/>
      <c r="K90" s="258"/>
      <c r="L90" s="11">
        <v>4</v>
      </c>
      <c r="M90" s="50"/>
      <c r="N90" s="11"/>
      <c r="O90" s="52"/>
      <c r="P90" s="161">
        <v>143</v>
      </c>
      <c r="Q90" s="157"/>
      <c r="R90" s="26"/>
      <c r="S90" s="223"/>
      <c r="T90" s="26"/>
      <c r="U90" s="53" t="s">
        <v>166</v>
      </c>
      <c r="V90" s="54"/>
      <c r="W90" s="51">
        <v>0.15208333333333332</v>
      </c>
      <c r="X90" s="52"/>
      <c r="Y90" s="161">
        <v>185</v>
      </c>
      <c r="Z90" s="157"/>
      <c r="AA90" s="233"/>
      <c r="AB90" s="11"/>
      <c r="AC90" s="11"/>
      <c r="AD90" s="50"/>
      <c r="AE90" s="161"/>
      <c r="AF90" s="157"/>
      <c r="AG90" s="263"/>
      <c r="AH90" s="50">
        <f t="shared" si="4"/>
        <v>0</v>
      </c>
      <c r="AI90" s="87">
        <f t="shared" si="5"/>
        <v>4</v>
      </c>
      <c r="AJ90" s="27">
        <f t="shared" si="2"/>
        <v>-4</v>
      </c>
      <c r="AK90" s="63">
        <f t="shared" si="6"/>
        <v>0</v>
      </c>
      <c r="AL90" s="59"/>
      <c r="AM90" s="51"/>
      <c r="AN90" s="3"/>
      <c r="AO90" s="55"/>
      <c r="AP90" s="11"/>
      <c r="AQ90" s="55"/>
      <c r="AR90" s="11"/>
      <c r="AS90" s="55"/>
      <c r="AT90" s="11"/>
      <c r="AU90" s="55"/>
      <c r="AV90" s="11"/>
      <c r="AW90" s="55"/>
      <c r="AX90" s="11"/>
      <c r="AY90" s="55"/>
      <c r="AZ90" s="11"/>
      <c r="BA90" s="55"/>
      <c r="BB90" s="11"/>
      <c r="BC90" s="55"/>
      <c r="BD90" s="11"/>
      <c r="BE90" s="55"/>
      <c r="BF90" s="11"/>
      <c r="BG90" s="37"/>
    </row>
    <row r="91" spans="1:59" x14ac:dyDescent="0.25">
      <c r="A91" s="56"/>
      <c r="B91" s="17" t="s">
        <v>27</v>
      </c>
      <c r="C91" s="85">
        <v>42519</v>
      </c>
      <c r="D91" s="85"/>
      <c r="E91" s="19">
        <v>12</v>
      </c>
      <c r="F91" s="42"/>
      <c r="G91" s="21">
        <v>0.20694444444444446</v>
      </c>
      <c r="H91" s="22"/>
      <c r="I91" s="160">
        <v>143</v>
      </c>
      <c r="J91" s="156"/>
      <c r="K91" s="259"/>
      <c r="L91" s="18"/>
      <c r="M91" s="20"/>
      <c r="N91" s="18"/>
      <c r="O91" s="20"/>
      <c r="P91" s="160"/>
      <c r="Q91" s="156"/>
      <c r="R91" s="18"/>
      <c r="S91" s="224"/>
      <c r="T91" s="84"/>
      <c r="U91" s="31"/>
      <c r="V91" s="42"/>
      <c r="W91" s="18"/>
      <c r="X91" s="20"/>
      <c r="Y91" s="160"/>
      <c r="Z91" s="156"/>
      <c r="AA91" s="265"/>
      <c r="AB91" s="18">
        <v>6</v>
      </c>
      <c r="AC91" s="21">
        <v>0.1763888888888889</v>
      </c>
      <c r="AD91" s="20"/>
      <c r="AE91" s="160">
        <v>157</v>
      </c>
      <c r="AF91" s="156"/>
      <c r="AG91" s="265"/>
      <c r="AH91" s="20">
        <f t="shared" si="4"/>
        <v>6</v>
      </c>
      <c r="AI91" s="88">
        <f t="shared" si="5"/>
        <v>18</v>
      </c>
      <c r="AJ91" s="34">
        <f t="shared" si="2"/>
        <v>-12</v>
      </c>
      <c r="AK91" s="58">
        <f t="shared" si="6"/>
        <v>0</v>
      </c>
      <c r="AL91" s="57">
        <f>SUM(AH86:AH91)</f>
        <v>17</v>
      </c>
      <c r="AM91" s="21">
        <f>SUM(AK86:AK91)</f>
        <v>0</v>
      </c>
      <c r="AN91" s="19"/>
      <c r="AO91" s="36"/>
      <c r="AP91" s="18"/>
      <c r="AQ91" s="36"/>
      <c r="AR91" s="18"/>
      <c r="AS91" s="36"/>
      <c r="AT91" s="18"/>
      <c r="AU91" s="36"/>
      <c r="AV91" s="18"/>
      <c r="AW91" s="36"/>
      <c r="AX91" s="18"/>
      <c r="AY91" s="36"/>
      <c r="AZ91" s="18"/>
      <c r="BA91" s="36"/>
      <c r="BB91" s="18"/>
      <c r="BC91" s="36"/>
      <c r="BD91" s="18"/>
      <c r="BE91" s="36"/>
      <c r="BF91" s="18"/>
      <c r="BG91" s="38"/>
    </row>
    <row r="92" spans="1:59" x14ac:dyDescent="0.25">
      <c r="A92" s="10"/>
      <c r="B92" s="1" t="s">
        <v>0</v>
      </c>
      <c r="C92" s="81">
        <v>42520</v>
      </c>
      <c r="D92" s="81"/>
      <c r="E92" s="3">
        <v>8</v>
      </c>
      <c r="F92" s="54"/>
      <c r="G92" s="51"/>
      <c r="H92" s="52"/>
      <c r="I92" s="161">
        <v>129</v>
      </c>
      <c r="J92" s="157"/>
      <c r="K92" s="258"/>
      <c r="L92" s="11"/>
      <c r="M92" s="50"/>
      <c r="N92" s="11"/>
      <c r="O92" s="50"/>
      <c r="P92" s="161"/>
      <c r="Q92" s="157"/>
      <c r="R92" s="11"/>
      <c r="S92" s="223"/>
      <c r="T92" s="26"/>
      <c r="U92" s="53"/>
      <c r="V92" s="54"/>
      <c r="W92" s="11"/>
      <c r="X92" s="50"/>
      <c r="Y92" s="161"/>
      <c r="Z92" s="157"/>
      <c r="AA92" s="263"/>
      <c r="AB92" s="11"/>
      <c r="AC92" s="11"/>
      <c r="AD92" s="50"/>
      <c r="AE92" s="161"/>
      <c r="AF92" s="157"/>
      <c r="AG92" s="263"/>
      <c r="AH92" s="188">
        <f t="shared" si="4"/>
        <v>0</v>
      </c>
      <c r="AI92" s="87">
        <f t="shared" si="5"/>
        <v>8</v>
      </c>
      <c r="AJ92" s="27">
        <f t="shared" si="2"/>
        <v>-8</v>
      </c>
      <c r="AK92" s="63">
        <f t="shared" si="6"/>
        <v>0</v>
      </c>
      <c r="AL92" s="59"/>
      <c r="AM92" s="51"/>
      <c r="AN92" s="3"/>
      <c r="AO92" s="9">
        <f>$AN$2-AN93</f>
        <v>80.7</v>
      </c>
      <c r="AQ92" s="9">
        <f>$AP$2-AP92</f>
        <v>92</v>
      </c>
      <c r="AS92" s="9">
        <f>$AR$2-AR92</f>
        <v>95</v>
      </c>
      <c r="AU92" s="9">
        <f>$AT$2-AT92</f>
        <v>98</v>
      </c>
      <c r="AV92"/>
      <c r="AW92" s="9">
        <f>$AV$2-AV92</f>
        <v>58</v>
      </c>
      <c r="AY92" s="9">
        <f>$AX$2-AX92</f>
        <v>58</v>
      </c>
      <c r="AZ92"/>
      <c r="BA92" s="9">
        <f>$AZ$2-AZ92</f>
        <v>41</v>
      </c>
      <c r="BB92"/>
      <c r="BC92" s="9">
        <f>$BB$2-BB92</f>
        <v>41</v>
      </c>
      <c r="BD92"/>
      <c r="BE92" s="9">
        <f>$BD$2-BD92</f>
        <v>30</v>
      </c>
      <c r="BG92" s="37">
        <f>$BF$2-BF92</f>
        <v>30</v>
      </c>
    </row>
    <row r="93" spans="1:59" x14ac:dyDescent="0.25">
      <c r="A93" s="10"/>
      <c r="B93" s="1" t="s">
        <v>24</v>
      </c>
      <c r="C93" s="81">
        <v>42521</v>
      </c>
      <c r="D93" s="81"/>
      <c r="E93" s="3">
        <v>6</v>
      </c>
      <c r="F93" s="54"/>
      <c r="G93" s="2">
        <v>0.20694444444444446</v>
      </c>
      <c r="H93" s="52"/>
      <c r="I93" s="161">
        <v>143</v>
      </c>
      <c r="J93" s="157"/>
      <c r="K93" s="258"/>
      <c r="L93" s="11"/>
      <c r="M93" s="50"/>
      <c r="N93" s="11"/>
      <c r="O93" s="50"/>
      <c r="P93" s="161"/>
      <c r="Q93" s="157"/>
      <c r="R93" s="11"/>
      <c r="S93" s="223"/>
      <c r="T93" s="26"/>
      <c r="U93" s="53"/>
      <c r="V93" s="54"/>
      <c r="W93" s="11"/>
      <c r="X93" s="50"/>
      <c r="Y93" s="161"/>
      <c r="Z93" s="157"/>
      <c r="AA93" s="263"/>
      <c r="AB93" s="11">
        <v>4</v>
      </c>
      <c r="AC93" s="51">
        <v>0.1763888888888889</v>
      </c>
      <c r="AD93" s="50"/>
      <c r="AE93" s="161">
        <v>157</v>
      </c>
      <c r="AF93" s="157"/>
      <c r="AG93" s="263"/>
      <c r="AH93" s="50">
        <f t="shared" si="4"/>
        <v>4</v>
      </c>
      <c r="AI93" s="87">
        <f t="shared" si="5"/>
        <v>10</v>
      </c>
      <c r="AJ93" s="27">
        <f t="shared" si="2"/>
        <v>-6</v>
      </c>
      <c r="AK93" s="63">
        <f t="shared" si="6"/>
        <v>0</v>
      </c>
      <c r="AL93" s="59"/>
      <c r="AM93" s="51"/>
      <c r="AN93" s="3"/>
      <c r="AZ93"/>
      <c r="BB93"/>
      <c r="BD93"/>
      <c r="BG93" s="37"/>
    </row>
    <row r="94" spans="1:59" x14ac:dyDescent="0.25">
      <c r="A94" s="10">
        <v>22</v>
      </c>
      <c r="B94" s="1" t="s">
        <v>26</v>
      </c>
      <c r="C94" s="81">
        <v>42523</v>
      </c>
      <c r="D94" s="81"/>
      <c r="E94" s="3">
        <v>10</v>
      </c>
      <c r="F94" s="54"/>
      <c r="G94" s="2">
        <v>0.20694444444444446</v>
      </c>
      <c r="H94" s="52"/>
      <c r="I94" s="161">
        <v>143</v>
      </c>
      <c r="J94" s="157"/>
      <c r="K94" s="258"/>
      <c r="L94" s="11"/>
      <c r="M94" s="50"/>
      <c r="N94" s="11"/>
      <c r="O94" s="50"/>
      <c r="P94" s="161"/>
      <c r="Q94" s="157"/>
      <c r="R94" s="11"/>
      <c r="S94" s="223"/>
      <c r="T94" s="26"/>
      <c r="U94" s="53"/>
      <c r="V94" s="54"/>
      <c r="W94" s="11"/>
      <c r="X94" s="50"/>
      <c r="Y94" s="161"/>
      <c r="Z94" s="157"/>
      <c r="AA94" s="263"/>
      <c r="AB94" s="11"/>
      <c r="AC94" s="11"/>
      <c r="AD94" s="50"/>
      <c r="AE94" s="161"/>
      <c r="AF94" s="157"/>
      <c r="AG94" s="263"/>
      <c r="AH94" s="50">
        <f t="shared" si="4"/>
        <v>0</v>
      </c>
      <c r="AI94" s="87">
        <f t="shared" si="5"/>
        <v>10</v>
      </c>
      <c r="AJ94" s="27">
        <f t="shared" si="2"/>
        <v>-10</v>
      </c>
      <c r="AK94" s="63">
        <f t="shared" si="6"/>
        <v>0</v>
      </c>
      <c r="AL94" s="59"/>
      <c r="AM94" s="51"/>
      <c r="AN94" s="3"/>
      <c r="AZ94"/>
      <c r="BB94"/>
      <c r="BD94"/>
      <c r="BG94" s="37"/>
    </row>
    <row r="95" spans="1:59" x14ac:dyDescent="0.25">
      <c r="B95" s="17" t="s">
        <v>18</v>
      </c>
      <c r="C95" s="81">
        <v>42525</v>
      </c>
      <c r="D95" s="81"/>
      <c r="E95" s="3">
        <v>10</v>
      </c>
      <c r="F95" s="54"/>
      <c r="G95" s="21">
        <v>0.20694444444444446</v>
      </c>
      <c r="H95" s="52"/>
      <c r="I95" s="161">
        <v>143</v>
      </c>
      <c r="J95" s="157"/>
      <c r="K95" s="258"/>
      <c r="L95" s="11"/>
      <c r="M95" s="50"/>
      <c r="N95" s="2"/>
      <c r="O95" s="52"/>
      <c r="P95" s="161"/>
      <c r="Q95" s="157"/>
      <c r="R95" s="26"/>
      <c r="S95" s="223"/>
      <c r="T95" s="26"/>
      <c r="U95" s="53"/>
      <c r="V95" s="54"/>
      <c r="W95" s="11"/>
      <c r="X95" s="64"/>
      <c r="Y95" s="161"/>
      <c r="Z95" s="157"/>
      <c r="AA95" s="233"/>
      <c r="AB95" s="11"/>
      <c r="AC95" s="11"/>
      <c r="AD95" s="50"/>
      <c r="AE95" s="161"/>
      <c r="AF95" s="157"/>
      <c r="AG95" s="50"/>
      <c r="AH95" s="61">
        <f t="shared" si="4"/>
        <v>0</v>
      </c>
      <c r="AI95" s="88">
        <f t="shared" si="5"/>
        <v>10</v>
      </c>
      <c r="AJ95" s="27">
        <f t="shared" si="2"/>
        <v>-10</v>
      </c>
      <c r="AK95" s="58">
        <f t="shared" si="6"/>
        <v>0</v>
      </c>
      <c r="AL95" s="59"/>
      <c r="AM95" s="51"/>
      <c r="AN95" s="3"/>
      <c r="AO95" s="55"/>
      <c r="AP95" s="11"/>
      <c r="AQ95" s="55"/>
      <c r="AR95" s="11"/>
      <c r="AS95" s="55"/>
      <c r="AT95" s="11"/>
      <c r="AU95" s="55"/>
      <c r="AV95" s="11"/>
      <c r="AW95" s="55"/>
      <c r="AX95" s="11"/>
      <c r="AY95" s="55"/>
      <c r="AZ95" s="11"/>
      <c r="BA95" s="55"/>
      <c r="BB95" s="11"/>
      <c r="BC95" s="55"/>
      <c r="BD95" s="11"/>
      <c r="BE95" s="55"/>
      <c r="BF95" s="11"/>
      <c r="BG95" s="37"/>
    </row>
    <row r="96" spans="1:59" x14ac:dyDescent="0.25">
      <c r="A96" s="65"/>
      <c r="B96" s="17" t="s">
        <v>27</v>
      </c>
      <c r="C96" s="86">
        <v>42526</v>
      </c>
      <c r="D96" s="86" t="s">
        <v>290</v>
      </c>
      <c r="E96" s="68"/>
      <c r="F96" s="72"/>
      <c r="G96" s="70"/>
      <c r="H96" s="69"/>
      <c r="I96" s="162"/>
      <c r="J96" s="158"/>
      <c r="K96" s="260"/>
      <c r="L96" s="70"/>
      <c r="M96" s="69"/>
      <c r="N96" s="70"/>
      <c r="O96" s="69"/>
      <c r="P96" s="162"/>
      <c r="Q96" s="158"/>
      <c r="R96" s="70"/>
      <c r="S96" s="268"/>
      <c r="T96" s="83"/>
      <c r="U96" s="71"/>
      <c r="V96" s="72"/>
      <c r="W96" s="70"/>
      <c r="X96" s="69"/>
      <c r="Y96" s="162"/>
      <c r="Z96" s="158"/>
      <c r="AA96" s="267"/>
      <c r="AB96" s="70">
        <v>42.195</v>
      </c>
      <c r="AC96" s="177">
        <v>0.1763888888888889</v>
      </c>
      <c r="AD96" s="79"/>
      <c r="AE96" s="162"/>
      <c r="AF96" s="158"/>
      <c r="AG96" s="270"/>
      <c r="AH96" s="75">
        <f>AB96</f>
        <v>42.195</v>
      </c>
      <c r="AI96" s="154">
        <f t="shared" si="5"/>
        <v>42.195</v>
      </c>
      <c r="AJ96" s="67">
        <f>AH96-AI96</f>
        <v>0</v>
      </c>
      <c r="AK96" s="153">
        <f t="shared" si="6"/>
        <v>0</v>
      </c>
      <c r="AL96" s="68"/>
      <c r="AM96" s="76"/>
      <c r="AN96" s="70"/>
      <c r="AO96" s="73">
        <f>$AN$2-AN96</f>
        <v>80.7</v>
      </c>
      <c r="AP96" s="70"/>
      <c r="AQ96" s="73"/>
      <c r="AR96" s="70"/>
      <c r="AS96" s="73"/>
      <c r="AT96" s="70"/>
      <c r="AU96" s="73"/>
      <c r="AV96" s="70"/>
      <c r="AW96" s="73"/>
      <c r="AX96" s="70"/>
      <c r="AY96" s="73"/>
      <c r="AZ96" s="70"/>
      <c r="BA96" s="73"/>
      <c r="BB96" s="70"/>
      <c r="BC96" s="73"/>
      <c r="BD96" s="70"/>
      <c r="BE96" s="73"/>
      <c r="BF96" s="70"/>
      <c r="BG96" s="74"/>
    </row>
    <row r="97" spans="1:58" x14ac:dyDescent="0.25">
      <c r="A97" s="6"/>
      <c r="I97" s="159"/>
      <c r="J97" s="147"/>
      <c r="P97" s="159"/>
      <c r="Q97" s="147"/>
      <c r="Y97" s="159"/>
      <c r="Z97" s="147"/>
      <c r="AE97" s="159"/>
      <c r="AF97" s="147"/>
      <c r="AZ97"/>
      <c r="BB97"/>
      <c r="BD97"/>
    </row>
    <row r="98" spans="1:58" x14ac:dyDescent="0.25">
      <c r="A98" s="6"/>
      <c r="I98" s="159"/>
      <c r="J98" s="147"/>
      <c r="P98" s="159"/>
      <c r="Q98" s="147"/>
      <c r="Y98" s="159"/>
      <c r="Z98" s="147"/>
      <c r="AE98" s="159"/>
      <c r="AF98" s="147"/>
      <c r="AH98" s="13">
        <f>SUM(AH2:AH97)</f>
        <v>746.6550000000002</v>
      </c>
      <c r="AI98" s="13">
        <f>SUM(AI2:AI97)</f>
        <v>1347.7249999999999</v>
      </c>
      <c r="AJ98" s="13">
        <f>AH98-AI98</f>
        <v>-601.06999999999971</v>
      </c>
      <c r="AK98" s="14">
        <f>SUM(AK2:AK97)</f>
        <v>2.0899768518518518</v>
      </c>
      <c r="AL98" s="35">
        <f>SUM(AL2:AL95)</f>
        <v>700.46</v>
      </c>
      <c r="AM98" s="21">
        <f>SUM(AM2:AM97)</f>
        <v>3.0055902777777774</v>
      </c>
      <c r="AZ98"/>
      <c r="BB98"/>
      <c r="BD98"/>
    </row>
    <row r="99" spans="1:58" x14ac:dyDescent="0.25">
      <c r="A99" s="6"/>
      <c r="E99">
        <f>SUM(E2:E95)</f>
        <v>1055</v>
      </c>
      <c r="F99" s="46">
        <f>SUM(F2:F95)</f>
        <v>506.3</v>
      </c>
      <c r="I99" s="159"/>
      <c r="J99" s="147"/>
      <c r="L99">
        <f>SUM(L2:L95)</f>
        <v>93</v>
      </c>
      <c r="M99">
        <f>SUM(M2:M95)</f>
        <v>40.629999999999995</v>
      </c>
      <c r="P99" s="159"/>
      <c r="Q99" s="147"/>
      <c r="V99">
        <f>SUM(V2:V95)</f>
        <v>31</v>
      </c>
      <c r="Y99" s="159"/>
      <c r="Z99" s="147"/>
      <c r="AB99">
        <f>SUM(AB2:AB95)</f>
        <v>118</v>
      </c>
      <c r="AD99"/>
      <c r="AE99" s="159"/>
      <c r="AF99" s="147"/>
      <c r="AH99" s="41"/>
      <c r="AZ99"/>
      <c r="BB99"/>
      <c r="BD99"/>
    </row>
    <row r="100" spans="1:58" x14ac:dyDescent="0.25">
      <c r="A100" s="6"/>
      <c r="I100" s="159"/>
      <c r="J100" s="147"/>
      <c r="P100" s="159"/>
      <c r="Q100" s="147"/>
      <c r="Y100" s="159"/>
      <c r="Z100" s="147"/>
      <c r="AE100" s="159"/>
      <c r="AF100" s="147"/>
      <c r="AH100" s="41"/>
      <c r="AZ100"/>
      <c r="BB100"/>
      <c r="BD100"/>
    </row>
    <row r="101" spans="1:58" x14ac:dyDescent="0.25">
      <c r="A101" s="6"/>
      <c r="I101" s="159"/>
      <c r="J101" s="147"/>
      <c r="P101" s="159"/>
      <c r="Q101" s="147"/>
      <c r="Y101" s="159"/>
      <c r="Z101" s="147"/>
      <c r="AE101" s="159"/>
      <c r="AF101" s="147"/>
      <c r="AZ101"/>
      <c r="BB101"/>
      <c r="BD101"/>
    </row>
    <row r="102" spans="1:58" x14ac:dyDescent="0.25">
      <c r="I102" s="112"/>
      <c r="P102" s="112"/>
      <c r="Y102" s="112"/>
      <c r="AE102" s="112"/>
      <c r="AZ102"/>
      <c r="BB102"/>
      <c r="BD102"/>
    </row>
    <row r="103" spans="1:58" x14ac:dyDescent="0.25">
      <c r="I103" s="112"/>
      <c r="P103" s="112"/>
      <c r="Y103" s="112"/>
      <c r="AE103" s="112"/>
      <c r="AZ103"/>
      <c r="BB103"/>
      <c r="BD103"/>
    </row>
    <row r="104" spans="1:58" x14ac:dyDescent="0.25">
      <c r="I104" s="112"/>
      <c r="P104" s="112"/>
      <c r="Y104" s="112"/>
      <c r="AE104" s="112"/>
      <c r="AZ104"/>
      <c r="BB104"/>
      <c r="BD104"/>
    </row>
    <row r="105" spans="1:58" x14ac:dyDescent="0.25">
      <c r="I105" s="112"/>
      <c r="P105" s="112"/>
      <c r="Y105" s="112"/>
      <c r="AE105" s="112"/>
      <c r="AZ105"/>
      <c r="BB105"/>
      <c r="BD105"/>
    </row>
    <row r="106" spans="1:58" x14ac:dyDescent="0.25">
      <c r="I106" s="112"/>
      <c r="P106" s="112"/>
      <c r="Y106" s="112"/>
      <c r="AE106" s="112"/>
      <c r="AZ106"/>
      <c r="BB106"/>
      <c r="BD106"/>
    </row>
    <row r="107" spans="1:58" x14ac:dyDescent="0.25">
      <c r="I107" s="112"/>
      <c r="P107" s="112"/>
      <c r="Y107" s="112"/>
      <c r="AE107" s="112"/>
      <c r="AZ107"/>
      <c r="BB107"/>
      <c r="BD107"/>
    </row>
    <row r="108" spans="1:58" x14ac:dyDescent="0.25">
      <c r="I108" s="112"/>
      <c r="P108" s="112"/>
      <c r="Y108" s="112"/>
      <c r="AE108" s="112"/>
      <c r="AZ108"/>
      <c r="BB108"/>
      <c r="BD108"/>
    </row>
    <row r="109" spans="1:58" x14ac:dyDescent="0.25">
      <c r="I109" s="112"/>
      <c r="P109" s="112"/>
      <c r="Y109" s="112"/>
      <c r="AE109" s="112"/>
      <c r="AZ109"/>
      <c r="BB109"/>
      <c r="BD109"/>
    </row>
    <row r="110" spans="1:58" x14ac:dyDescent="0.25">
      <c r="I110" s="112"/>
      <c r="P110" s="112"/>
      <c r="Y110" s="112"/>
      <c r="AE110" s="112"/>
      <c r="AZ110"/>
      <c r="BB110"/>
      <c r="BD110"/>
    </row>
    <row r="111" spans="1:58" x14ac:dyDescent="0.25">
      <c r="I111" s="112"/>
      <c r="P111" s="112"/>
      <c r="Y111" s="112"/>
      <c r="AE111" s="112"/>
      <c r="AZ111"/>
      <c r="BB111"/>
      <c r="BD111"/>
    </row>
    <row r="112" spans="1:58" s="9" customFormat="1" x14ac:dyDescent="0.25">
      <c r="A112"/>
      <c r="B112"/>
      <c r="C112"/>
      <c r="D112"/>
      <c r="E112"/>
      <c r="F112" s="41"/>
      <c r="G112"/>
      <c r="H112" s="13"/>
      <c r="I112" s="112"/>
      <c r="J112" s="13"/>
      <c r="K112" s="261"/>
      <c r="L112"/>
      <c r="M112" s="13"/>
      <c r="N112"/>
      <c r="O112" s="13"/>
      <c r="P112" s="112"/>
      <c r="Q112" s="13"/>
      <c r="R112"/>
      <c r="S112" s="41"/>
      <c r="T112" s="46"/>
      <c r="U112" s="30"/>
      <c r="V112" s="41"/>
      <c r="W112"/>
      <c r="X112" s="13"/>
      <c r="Y112" s="112"/>
      <c r="Z112" s="13"/>
      <c r="AA112" s="13"/>
      <c r="AB112"/>
      <c r="AC112"/>
      <c r="AD112" s="13"/>
      <c r="AE112" s="112"/>
      <c r="AF112" s="13"/>
      <c r="AG112" s="13"/>
      <c r="AH112" s="13"/>
      <c r="AI112"/>
      <c r="AJ112"/>
      <c r="AK112" s="13"/>
      <c r="AL112" s="13"/>
      <c r="AM112" s="13"/>
      <c r="AN112"/>
      <c r="AP112"/>
      <c r="AR112"/>
      <c r="AT112"/>
      <c r="AX112"/>
      <c r="AZ112"/>
      <c r="BB112"/>
      <c r="BD112"/>
      <c r="BF112"/>
    </row>
    <row r="113" spans="1:59" s="9" customFormat="1" x14ac:dyDescent="0.25">
      <c r="A113"/>
      <c r="B113"/>
      <c r="C113"/>
      <c r="D113"/>
      <c r="E113"/>
      <c r="F113" s="41"/>
      <c r="G113"/>
      <c r="H113" s="13"/>
      <c r="I113" s="112"/>
      <c r="J113" s="13"/>
      <c r="K113" s="261"/>
      <c r="L113"/>
      <c r="M113" s="13"/>
      <c r="N113"/>
      <c r="O113" s="13"/>
      <c r="P113" s="112"/>
      <c r="Q113" s="13"/>
      <c r="R113"/>
      <c r="S113" s="41"/>
      <c r="T113" s="46"/>
      <c r="U113" s="30"/>
      <c r="V113" s="41"/>
      <c r="W113"/>
      <c r="X113" s="13"/>
      <c r="Y113" s="112"/>
      <c r="Z113" s="13"/>
      <c r="AA113" s="13"/>
      <c r="AB113"/>
      <c r="AC113"/>
      <c r="AD113" s="13"/>
      <c r="AE113" s="112"/>
      <c r="AF113" s="13"/>
      <c r="AG113" s="13"/>
      <c r="AH113" s="13"/>
      <c r="AI113"/>
      <c r="AJ113"/>
      <c r="AK113" s="13"/>
      <c r="AL113" s="13"/>
      <c r="AM113" s="13"/>
      <c r="AN113"/>
      <c r="AP113"/>
      <c r="AR113"/>
      <c r="AT113"/>
      <c r="AX113"/>
      <c r="BF113"/>
    </row>
    <row r="114" spans="1:59" s="9" customFormat="1" x14ac:dyDescent="0.25">
      <c r="A114"/>
      <c r="B114"/>
      <c r="C114"/>
      <c r="D114"/>
      <c r="E114"/>
      <c r="F114" s="41"/>
      <c r="G114"/>
      <c r="H114" s="13"/>
      <c r="I114" s="112"/>
      <c r="J114" s="13"/>
      <c r="K114" s="261"/>
      <c r="L114"/>
      <c r="M114" s="13"/>
      <c r="N114"/>
      <c r="O114" s="13"/>
      <c r="P114" s="112"/>
      <c r="Q114" s="13"/>
      <c r="R114"/>
      <c r="S114" s="41"/>
      <c r="T114" s="46"/>
      <c r="U114" s="30"/>
      <c r="V114" s="41"/>
      <c r="W114"/>
      <c r="X114" s="13"/>
      <c r="Y114" s="112"/>
      <c r="Z114" s="13"/>
      <c r="AA114" s="13"/>
      <c r="AB114"/>
      <c r="AC114"/>
      <c r="AD114" s="13"/>
      <c r="AE114" s="112"/>
      <c r="AF114" s="13"/>
      <c r="AG114" s="13"/>
      <c r="AH114" s="13"/>
      <c r="AI114"/>
      <c r="AJ114"/>
      <c r="AK114" s="13"/>
      <c r="AL114" s="13"/>
      <c r="AM114" s="13"/>
      <c r="AN114"/>
      <c r="AP114"/>
      <c r="AR114"/>
      <c r="AT114"/>
      <c r="AX114"/>
      <c r="BF114"/>
    </row>
    <row r="115" spans="1:59" s="9" customFormat="1" x14ac:dyDescent="0.25">
      <c r="A115"/>
      <c r="B115"/>
      <c r="C115"/>
      <c r="D115"/>
      <c r="E115"/>
      <c r="F115" s="41"/>
      <c r="G115"/>
      <c r="H115" s="13"/>
      <c r="I115" s="112"/>
      <c r="J115" s="13"/>
      <c r="K115" s="261"/>
      <c r="L115"/>
      <c r="M115" s="13"/>
      <c r="N115"/>
      <c r="O115" s="13"/>
      <c r="P115" s="112"/>
      <c r="Q115" s="13"/>
      <c r="R115"/>
      <c r="S115" s="41"/>
      <c r="T115" s="46"/>
      <c r="U115" s="30"/>
      <c r="V115" s="41"/>
      <c r="W115"/>
      <c r="X115" s="13"/>
      <c r="Y115" s="112"/>
      <c r="Z115" s="13"/>
      <c r="AA115" s="13"/>
      <c r="AB115"/>
      <c r="AC115"/>
      <c r="AD115" s="13"/>
      <c r="AE115" s="112"/>
      <c r="AF115" s="13"/>
      <c r="AG115" s="13"/>
      <c r="AH115" s="13"/>
      <c r="AI115"/>
      <c r="AJ115"/>
      <c r="AK115" s="13"/>
      <c r="AL115" s="13"/>
      <c r="AM115" s="13"/>
      <c r="AN115"/>
      <c r="AP115"/>
      <c r="AR115"/>
      <c r="AT115"/>
      <c r="AX115"/>
      <c r="BF115"/>
    </row>
    <row r="116" spans="1:59" s="9" customFormat="1" x14ac:dyDescent="0.25">
      <c r="A116"/>
      <c r="B116"/>
      <c r="C116"/>
      <c r="D116"/>
      <c r="E116"/>
      <c r="F116" s="41"/>
      <c r="G116"/>
      <c r="H116" s="13"/>
      <c r="I116" s="112"/>
      <c r="J116" s="13"/>
      <c r="K116" s="261"/>
      <c r="L116"/>
      <c r="M116" s="13"/>
      <c r="N116"/>
      <c r="O116" s="13"/>
      <c r="P116" s="112"/>
      <c r="Q116" s="13"/>
      <c r="R116"/>
      <c r="S116" s="41"/>
      <c r="T116" s="46"/>
      <c r="U116" s="30"/>
      <c r="V116" s="41"/>
      <c r="W116"/>
      <c r="X116" s="13"/>
      <c r="Y116" s="112"/>
      <c r="Z116" s="13"/>
      <c r="AA116" s="13"/>
      <c r="AB116"/>
      <c r="AC116"/>
      <c r="AD116" s="13"/>
      <c r="AE116" s="112"/>
      <c r="AF116" s="13"/>
      <c r="AG116" s="13"/>
      <c r="AH116" s="13"/>
      <c r="AI116"/>
      <c r="AJ116"/>
      <c r="AK116" s="13"/>
      <c r="AL116" s="13"/>
      <c r="AM116" s="13"/>
      <c r="AN116"/>
      <c r="AP116"/>
      <c r="AR116"/>
      <c r="AT116"/>
      <c r="AX116"/>
      <c r="BF116"/>
    </row>
    <row r="117" spans="1:59" s="9" customFormat="1" x14ac:dyDescent="0.25">
      <c r="A117"/>
      <c r="B117"/>
      <c r="C117"/>
      <c r="D117"/>
      <c r="E117"/>
      <c r="F117" s="41"/>
      <c r="G117"/>
      <c r="H117" s="13"/>
      <c r="I117" s="112"/>
      <c r="J117" s="13"/>
      <c r="K117" s="261"/>
      <c r="L117"/>
      <c r="M117" s="13"/>
      <c r="N117"/>
      <c r="O117" s="13"/>
      <c r="P117" s="112"/>
      <c r="Q117" s="13"/>
      <c r="R117"/>
      <c r="S117" s="41"/>
      <c r="T117" s="46"/>
      <c r="U117" s="30"/>
      <c r="V117" s="41"/>
      <c r="W117"/>
      <c r="X117" s="13"/>
      <c r="Y117" s="112"/>
      <c r="Z117" s="13"/>
      <c r="AA117" s="13"/>
      <c r="AB117"/>
      <c r="AC117"/>
      <c r="AD117" s="13"/>
      <c r="AE117" s="112"/>
      <c r="AF117" s="13"/>
      <c r="AG117" s="13"/>
      <c r="AH117" s="13"/>
      <c r="AI117"/>
      <c r="AJ117"/>
      <c r="AK117" s="13"/>
      <c r="AL117" s="13"/>
      <c r="AM117" s="13"/>
      <c r="AN117"/>
      <c r="AP117"/>
      <c r="AR117"/>
      <c r="AT117"/>
      <c r="AX117"/>
      <c r="BF117"/>
    </row>
    <row r="118" spans="1:59" s="9" customFormat="1" x14ac:dyDescent="0.25">
      <c r="A118"/>
      <c r="B118"/>
      <c r="C118"/>
      <c r="D118"/>
      <c r="E118"/>
      <c r="F118" s="41"/>
      <c r="G118"/>
      <c r="H118" s="13"/>
      <c r="I118" s="112"/>
      <c r="J118" s="13"/>
      <c r="K118" s="261"/>
      <c r="L118"/>
      <c r="M118" s="13"/>
      <c r="N118"/>
      <c r="O118" s="13"/>
      <c r="P118" s="112"/>
      <c r="Q118" s="13"/>
      <c r="R118"/>
      <c r="S118" s="41"/>
      <c r="T118" s="46"/>
      <c r="U118" s="30"/>
      <c r="V118" s="41"/>
      <c r="W118"/>
      <c r="X118" s="13"/>
      <c r="Y118" s="112"/>
      <c r="Z118" s="13"/>
      <c r="AA118" s="13"/>
      <c r="AB118"/>
      <c r="AC118"/>
      <c r="AD118" s="13"/>
      <c r="AE118" s="112"/>
      <c r="AF118" s="13"/>
      <c r="AG118" s="13"/>
      <c r="AH118" s="13"/>
      <c r="AI118"/>
      <c r="AJ118"/>
      <c r="AK118" s="13"/>
      <c r="AL118" s="13"/>
      <c r="AM118" s="13"/>
      <c r="AN118"/>
      <c r="AP118"/>
      <c r="AR118"/>
      <c r="AT118"/>
      <c r="AX118"/>
      <c r="BF118"/>
    </row>
    <row r="119" spans="1:59" s="9" customFormat="1" x14ac:dyDescent="0.25">
      <c r="A119"/>
      <c r="B119"/>
      <c r="C119"/>
      <c r="D119"/>
      <c r="E119"/>
      <c r="F119" s="41"/>
      <c r="G119"/>
      <c r="H119" s="13"/>
      <c r="I119" s="112"/>
      <c r="J119" s="13"/>
      <c r="K119" s="261"/>
      <c r="L119"/>
      <c r="M119" s="13"/>
      <c r="N119"/>
      <c r="O119" s="13"/>
      <c r="P119" s="112"/>
      <c r="Q119" s="13"/>
      <c r="R119"/>
      <c r="S119" s="41"/>
      <c r="T119" s="46"/>
      <c r="U119" s="30"/>
      <c r="V119" s="41"/>
      <c r="W119"/>
      <c r="X119" s="13"/>
      <c r="Y119" s="112"/>
      <c r="Z119" s="13"/>
      <c r="AA119" s="13"/>
      <c r="AB119"/>
      <c r="AC119"/>
      <c r="AD119" s="13"/>
      <c r="AE119" s="112"/>
      <c r="AF119" s="13"/>
      <c r="AG119" s="13"/>
      <c r="AH119" s="13"/>
      <c r="AI119"/>
      <c r="AJ119"/>
      <c r="AK119" s="13"/>
      <c r="AL119" s="13"/>
      <c r="AM119" s="13"/>
      <c r="AN119"/>
      <c r="AP119"/>
      <c r="AR119"/>
      <c r="AT119"/>
      <c r="AX119"/>
      <c r="BF119"/>
    </row>
    <row r="120" spans="1:59" s="9" customFormat="1" x14ac:dyDescent="0.25">
      <c r="A120"/>
      <c r="B120"/>
      <c r="C120"/>
      <c r="D120"/>
      <c r="E120"/>
      <c r="F120" s="41"/>
      <c r="G120"/>
      <c r="H120" s="13"/>
      <c r="I120" s="112"/>
      <c r="J120" s="13"/>
      <c r="K120" s="261"/>
      <c r="L120"/>
      <c r="M120" s="13"/>
      <c r="N120"/>
      <c r="O120" s="13"/>
      <c r="P120" s="112"/>
      <c r="Q120" s="13"/>
      <c r="R120"/>
      <c r="S120" s="41"/>
      <c r="T120" s="46"/>
      <c r="U120" s="30"/>
      <c r="V120" s="41"/>
      <c r="W120"/>
      <c r="X120" s="13"/>
      <c r="Y120" s="112"/>
      <c r="Z120" s="13"/>
      <c r="AA120" s="13"/>
      <c r="AB120"/>
      <c r="AC120"/>
      <c r="AD120" s="13"/>
      <c r="AE120" s="112"/>
      <c r="AF120" s="13"/>
      <c r="AG120" s="13"/>
      <c r="AH120" s="13"/>
      <c r="AI120"/>
      <c r="AJ120"/>
      <c r="AK120" s="13"/>
      <c r="AL120" s="13"/>
      <c r="AM120" s="13"/>
      <c r="AN120"/>
      <c r="AP120"/>
      <c r="AR120"/>
      <c r="AT120"/>
      <c r="AX120"/>
      <c r="BF120"/>
    </row>
    <row r="121" spans="1:59" s="9" customFormat="1" x14ac:dyDescent="0.25">
      <c r="A121"/>
      <c r="B121"/>
      <c r="C121"/>
      <c r="D121"/>
      <c r="E121"/>
      <c r="F121" s="41"/>
      <c r="G121"/>
      <c r="H121" s="13"/>
      <c r="I121" s="112"/>
      <c r="J121" s="13"/>
      <c r="K121" s="261"/>
      <c r="L121"/>
      <c r="M121" s="13"/>
      <c r="N121"/>
      <c r="O121" s="13"/>
      <c r="P121" s="112"/>
      <c r="Q121" s="13"/>
      <c r="R121"/>
      <c r="S121" s="41"/>
      <c r="T121" s="46"/>
      <c r="U121" s="30"/>
      <c r="V121" s="41"/>
      <c r="W121"/>
      <c r="X121" s="13"/>
      <c r="Y121" s="112"/>
      <c r="Z121" s="13"/>
      <c r="AA121" s="13"/>
      <c r="AB121"/>
      <c r="AC121"/>
      <c r="AD121" s="13"/>
      <c r="AE121" s="112"/>
      <c r="AF121" s="13"/>
      <c r="AG121" s="13"/>
      <c r="AH121" s="13"/>
      <c r="AI121"/>
      <c r="AJ121"/>
      <c r="AK121" s="13"/>
      <c r="AL121" s="13"/>
      <c r="AM121" s="13"/>
      <c r="AN121"/>
      <c r="AP121"/>
      <c r="AR121"/>
      <c r="AT121"/>
      <c r="AX121"/>
      <c r="BF121"/>
    </row>
    <row r="122" spans="1:59" s="9" customFormat="1" x14ac:dyDescent="0.25">
      <c r="A122"/>
      <c r="B122"/>
      <c r="C122"/>
      <c r="D122"/>
      <c r="E122"/>
      <c r="F122" s="41"/>
      <c r="G122"/>
      <c r="H122" s="13"/>
      <c r="I122" s="112"/>
      <c r="J122" s="13"/>
      <c r="K122" s="261"/>
      <c r="L122"/>
      <c r="M122" s="13"/>
      <c r="N122"/>
      <c r="O122" s="13"/>
      <c r="P122" s="112"/>
      <c r="Q122" s="13"/>
      <c r="R122"/>
      <c r="S122" s="41"/>
      <c r="T122" s="46"/>
      <c r="U122" s="30"/>
      <c r="V122" s="41"/>
      <c r="W122"/>
      <c r="X122" s="13"/>
      <c r="Y122" s="112"/>
      <c r="Z122" s="13"/>
      <c r="AA122" s="13"/>
      <c r="AB122"/>
      <c r="AC122"/>
      <c r="AD122" s="13"/>
      <c r="AE122" s="112"/>
      <c r="AF122" s="13"/>
      <c r="AG122" s="13"/>
      <c r="AH122" s="13"/>
      <c r="AI122"/>
      <c r="AJ122"/>
      <c r="AK122" s="13"/>
      <c r="AL122" s="13"/>
      <c r="AM122" s="13"/>
      <c r="AN122"/>
      <c r="AP122"/>
      <c r="AR122"/>
      <c r="AT122"/>
      <c r="AX122"/>
      <c r="BF122"/>
    </row>
    <row r="123" spans="1:59" s="9" customFormat="1" x14ac:dyDescent="0.25">
      <c r="A123"/>
      <c r="B123"/>
      <c r="C123"/>
      <c r="D123"/>
      <c r="E123"/>
      <c r="F123" s="41"/>
      <c r="G123"/>
      <c r="H123" s="13"/>
      <c r="I123" s="112"/>
      <c r="J123" s="13"/>
      <c r="K123" s="261"/>
      <c r="L123"/>
      <c r="M123" s="13"/>
      <c r="N123"/>
      <c r="O123" s="13"/>
      <c r="P123" s="112"/>
      <c r="Q123" s="13"/>
      <c r="R123"/>
      <c r="S123" s="41"/>
      <c r="T123" s="46"/>
      <c r="U123" s="30"/>
      <c r="V123" s="41"/>
      <c r="W123"/>
      <c r="X123" s="13"/>
      <c r="Y123" s="112"/>
      <c r="Z123" s="13"/>
      <c r="AA123" s="13"/>
      <c r="AB123"/>
      <c r="AC123"/>
      <c r="AD123" s="13"/>
      <c r="AE123" s="112"/>
      <c r="AF123" s="13"/>
      <c r="AG123" s="13"/>
      <c r="AH123" s="13"/>
      <c r="AI123"/>
      <c r="AJ123"/>
      <c r="AK123" s="13"/>
      <c r="AL123" s="13"/>
      <c r="AM123" s="13"/>
      <c r="AN123"/>
      <c r="AP123"/>
      <c r="AR123"/>
      <c r="AT123"/>
      <c r="AX123"/>
      <c r="BF123"/>
    </row>
    <row r="124" spans="1:59" s="9" customFormat="1" x14ac:dyDescent="0.25">
      <c r="A124"/>
      <c r="B124"/>
      <c r="C124"/>
      <c r="D124"/>
      <c r="E124"/>
      <c r="F124" s="41"/>
      <c r="G124"/>
      <c r="H124" s="13"/>
      <c r="I124" s="112"/>
      <c r="J124" s="13"/>
      <c r="K124" s="261"/>
      <c r="L124"/>
      <c r="M124" s="13"/>
      <c r="N124"/>
      <c r="O124" s="13"/>
      <c r="P124" s="112"/>
      <c r="Q124" s="13"/>
      <c r="R124"/>
      <c r="S124" s="41"/>
      <c r="T124" s="46"/>
      <c r="U124" s="30"/>
      <c r="V124" s="41"/>
      <c r="W124"/>
      <c r="X124" s="13"/>
      <c r="Y124" s="112"/>
      <c r="Z124" s="13"/>
      <c r="AA124" s="13"/>
      <c r="AB124"/>
      <c r="AC124"/>
      <c r="AD124" s="13"/>
      <c r="AE124" s="112"/>
      <c r="AF124" s="13"/>
      <c r="AG124" s="13"/>
      <c r="AH124" s="13"/>
      <c r="AI124"/>
      <c r="AJ124"/>
      <c r="AK124" s="13"/>
      <c r="AL124" s="13"/>
      <c r="AM124" s="13"/>
      <c r="AN124"/>
      <c r="AP124"/>
      <c r="AR124"/>
      <c r="AT124"/>
      <c r="AX124"/>
      <c r="BF124"/>
    </row>
    <row r="125" spans="1:59" s="9" customFormat="1" x14ac:dyDescent="0.25">
      <c r="A125"/>
      <c r="B125"/>
      <c r="C125"/>
      <c r="D125"/>
      <c r="E125"/>
      <c r="F125" s="41"/>
      <c r="G125"/>
      <c r="H125" s="13"/>
      <c r="I125" s="112"/>
      <c r="J125" s="13"/>
      <c r="K125" s="261"/>
      <c r="L125"/>
      <c r="M125" s="13"/>
      <c r="N125"/>
      <c r="O125" s="13"/>
      <c r="P125" s="112"/>
      <c r="Q125" s="13"/>
      <c r="R125"/>
      <c r="S125" s="41"/>
      <c r="T125" s="46"/>
      <c r="U125" s="30"/>
      <c r="V125" s="41"/>
      <c r="W125"/>
      <c r="X125" s="13"/>
      <c r="Y125" s="112"/>
      <c r="Z125" s="13"/>
      <c r="AA125" s="13"/>
      <c r="AB125"/>
      <c r="AC125"/>
      <c r="AD125" s="13"/>
      <c r="AE125" s="112"/>
      <c r="AF125" s="13"/>
      <c r="AG125" s="13"/>
      <c r="AH125" s="13"/>
      <c r="AI125"/>
      <c r="AJ125"/>
      <c r="AK125" s="13"/>
      <c r="AL125" s="13"/>
      <c r="AM125" s="13"/>
      <c r="AN125"/>
      <c r="AP125"/>
      <c r="AR125"/>
      <c r="AT125"/>
      <c r="AX125"/>
      <c r="BF125"/>
    </row>
    <row r="126" spans="1:59" s="9" customFormat="1" x14ac:dyDescent="0.25">
      <c r="A126"/>
      <c r="B126"/>
      <c r="C126"/>
      <c r="D126"/>
      <c r="E126"/>
      <c r="F126" s="41"/>
      <c r="G126"/>
      <c r="H126" s="13"/>
      <c r="I126" s="112"/>
      <c r="J126" s="13"/>
      <c r="K126" s="261"/>
      <c r="L126"/>
      <c r="M126" s="13"/>
      <c r="N126"/>
      <c r="O126" s="13"/>
      <c r="P126" s="112"/>
      <c r="Q126" s="13"/>
      <c r="R126"/>
      <c r="S126" s="41"/>
      <c r="T126" s="46"/>
      <c r="U126" s="30"/>
      <c r="V126" s="41"/>
      <c r="W126"/>
      <c r="X126" s="13"/>
      <c r="Y126" s="112"/>
      <c r="Z126" s="13"/>
      <c r="AA126" s="13"/>
      <c r="AB126"/>
      <c r="AC126"/>
      <c r="AD126" s="13"/>
      <c r="AE126" s="112"/>
      <c r="AF126" s="13"/>
      <c r="AG126" s="13"/>
      <c r="AH126" s="13"/>
      <c r="AI126"/>
      <c r="AJ126"/>
      <c r="AK126" s="13"/>
      <c r="AL126" s="13"/>
      <c r="AM126" s="13"/>
      <c r="AN126"/>
      <c r="AP126"/>
      <c r="AR126"/>
      <c r="AT126"/>
      <c r="AX126"/>
      <c r="BF126"/>
    </row>
    <row r="127" spans="1:59" s="9" customFormat="1" x14ac:dyDescent="0.25">
      <c r="A127"/>
      <c r="B127"/>
      <c r="C127"/>
      <c r="D127"/>
      <c r="E127"/>
      <c r="F127" s="41"/>
      <c r="G127"/>
      <c r="H127" s="13"/>
      <c r="I127" s="112"/>
      <c r="J127" s="13"/>
      <c r="K127" s="261"/>
      <c r="L127"/>
      <c r="M127" s="13"/>
      <c r="N127"/>
      <c r="O127" s="13"/>
      <c r="P127" s="112"/>
      <c r="Q127" s="13"/>
      <c r="R127"/>
      <c r="S127" s="41"/>
      <c r="T127" s="46"/>
      <c r="U127" s="30"/>
      <c r="V127" s="41"/>
      <c r="W127"/>
      <c r="X127" s="13"/>
      <c r="Y127" s="112"/>
      <c r="Z127" s="13"/>
      <c r="AA127" s="13"/>
      <c r="AB127"/>
      <c r="AC127"/>
      <c r="AD127" s="13"/>
      <c r="AE127" s="112"/>
      <c r="AF127" s="13"/>
      <c r="AG127" s="13"/>
      <c r="AH127" s="13"/>
      <c r="AI127"/>
      <c r="AJ127"/>
      <c r="AK127" s="13"/>
      <c r="AL127" s="13"/>
      <c r="AM127" s="13"/>
      <c r="AN127"/>
      <c r="AP127"/>
      <c r="AR127"/>
      <c r="AT127"/>
      <c r="AX127"/>
      <c r="BF127"/>
    </row>
    <row r="128" spans="1:59" s="13" customFormat="1" x14ac:dyDescent="0.25">
      <c r="A128"/>
      <c r="B128"/>
      <c r="C128"/>
      <c r="D128"/>
      <c r="E128"/>
      <c r="F128" s="41"/>
      <c r="G128"/>
      <c r="I128" s="112"/>
      <c r="K128" s="261"/>
      <c r="L128"/>
      <c r="N128"/>
      <c r="P128" s="112"/>
      <c r="R128"/>
      <c r="S128" s="41"/>
      <c r="T128" s="46"/>
      <c r="U128" s="30"/>
      <c r="V128" s="41"/>
      <c r="W128"/>
      <c r="Y128" s="112"/>
      <c r="AB128"/>
      <c r="AC128"/>
      <c r="AE128" s="112"/>
      <c r="AI128"/>
      <c r="AJ128"/>
      <c r="AN128"/>
      <c r="AO128" s="9"/>
      <c r="AP128"/>
      <c r="AQ128" s="9"/>
      <c r="AR128"/>
      <c r="AS128" s="9"/>
      <c r="AT128"/>
      <c r="AU128" s="9"/>
      <c r="AV128" s="9"/>
      <c r="AW128" s="9"/>
      <c r="AX128"/>
      <c r="AY128" s="9"/>
      <c r="AZ128" s="9"/>
      <c r="BA128" s="9"/>
      <c r="BB128" s="9"/>
      <c r="BC128" s="9"/>
      <c r="BD128" s="9"/>
      <c r="BE128" s="9"/>
      <c r="BF128"/>
      <c r="BG128" s="9"/>
    </row>
    <row r="129" spans="1:59" s="13" customFormat="1" x14ac:dyDescent="0.25">
      <c r="A129"/>
      <c r="B129"/>
      <c r="C129"/>
      <c r="D129"/>
      <c r="E129"/>
      <c r="F129" s="41"/>
      <c r="G129"/>
      <c r="I129" s="112"/>
      <c r="K129" s="261"/>
      <c r="L129"/>
      <c r="N129"/>
      <c r="P129" s="112"/>
      <c r="R129"/>
      <c r="S129" s="41"/>
      <c r="T129" s="46"/>
      <c r="U129" s="30"/>
      <c r="V129" s="41"/>
      <c r="W129"/>
      <c r="Y129" s="112"/>
      <c r="AB129"/>
      <c r="AC129"/>
      <c r="AE129" s="112"/>
      <c r="AI129"/>
      <c r="AJ129"/>
      <c r="AN129"/>
      <c r="AO129" s="9"/>
      <c r="AP129"/>
      <c r="AQ129" s="9"/>
      <c r="AR129"/>
      <c r="AS129" s="9"/>
      <c r="AT129"/>
      <c r="AU129" s="9"/>
      <c r="AV129" s="9"/>
      <c r="AW129" s="9"/>
      <c r="AX129"/>
      <c r="AY129" s="9"/>
      <c r="AZ129" s="9"/>
      <c r="BA129" s="9"/>
      <c r="BB129" s="9"/>
      <c r="BC129" s="9"/>
      <c r="BD129" s="9"/>
      <c r="BE129" s="9"/>
      <c r="BF129"/>
      <c r="BG129" s="9"/>
    </row>
    <row r="130" spans="1:59" s="13" customFormat="1" x14ac:dyDescent="0.25">
      <c r="A130"/>
      <c r="B130"/>
      <c r="C130"/>
      <c r="D130"/>
      <c r="E130"/>
      <c r="F130" s="41"/>
      <c r="G130"/>
      <c r="I130" s="112"/>
      <c r="K130" s="261"/>
      <c r="L130"/>
      <c r="N130"/>
      <c r="P130" s="112"/>
      <c r="R130"/>
      <c r="S130" s="41"/>
      <c r="T130" s="46"/>
      <c r="U130" s="30"/>
      <c r="V130" s="41"/>
      <c r="W130"/>
      <c r="Y130" s="112"/>
      <c r="AB130"/>
      <c r="AC130"/>
      <c r="AE130" s="112"/>
      <c r="AI130"/>
      <c r="AJ130"/>
      <c r="AN130"/>
      <c r="AO130" s="9"/>
      <c r="AP130"/>
      <c r="AQ130" s="9"/>
      <c r="AR130"/>
      <c r="AS130" s="9"/>
      <c r="AT130"/>
      <c r="AU130" s="9"/>
      <c r="AV130" s="9"/>
      <c r="AW130" s="9"/>
      <c r="AX130"/>
      <c r="AY130" s="9"/>
      <c r="AZ130" s="9"/>
      <c r="BA130" s="9"/>
      <c r="BB130" s="9"/>
      <c r="BC130" s="9"/>
      <c r="BD130" s="9"/>
      <c r="BE130" s="9"/>
      <c r="BF130"/>
      <c r="BG130" s="9"/>
    </row>
    <row r="131" spans="1:59" s="13" customFormat="1" x14ac:dyDescent="0.25">
      <c r="A131"/>
      <c r="B131"/>
      <c r="C131"/>
      <c r="D131"/>
      <c r="E131"/>
      <c r="F131" s="41"/>
      <c r="G131"/>
      <c r="I131" s="112"/>
      <c r="K131" s="261"/>
      <c r="L131"/>
      <c r="N131"/>
      <c r="P131" s="112"/>
      <c r="R131"/>
      <c r="S131" s="41"/>
      <c r="T131" s="46"/>
      <c r="U131" s="30"/>
      <c r="V131" s="41"/>
      <c r="W131"/>
      <c r="Y131" s="112"/>
      <c r="AB131"/>
      <c r="AC131"/>
      <c r="AE131" s="112"/>
      <c r="AI131"/>
      <c r="AJ131"/>
      <c r="AN131"/>
      <c r="AO131" s="9"/>
      <c r="AP131"/>
      <c r="AQ131" s="9"/>
      <c r="AR131"/>
      <c r="AS131" s="9"/>
      <c r="AT131"/>
      <c r="AU131" s="9"/>
      <c r="AV131" s="9"/>
      <c r="AW131" s="9"/>
      <c r="AX131"/>
      <c r="AY131" s="9"/>
      <c r="AZ131" s="9"/>
      <c r="BA131" s="9"/>
      <c r="BB131" s="9"/>
      <c r="BC131" s="9"/>
      <c r="BD131" s="9"/>
      <c r="BE131" s="9"/>
      <c r="BF131"/>
      <c r="BG131" s="9"/>
    </row>
    <row r="132" spans="1:59" s="13" customFormat="1" x14ac:dyDescent="0.25">
      <c r="A132"/>
      <c r="B132"/>
      <c r="C132"/>
      <c r="D132"/>
      <c r="E132"/>
      <c r="F132" s="41"/>
      <c r="G132"/>
      <c r="I132" s="112"/>
      <c r="K132" s="261"/>
      <c r="L132"/>
      <c r="N132"/>
      <c r="P132" s="112"/>
      <c r="R132"/>
      <c r="S132" s="41"/>
      <c r="T132" s="46"/>
      <c r="U132" s="30"/>
      <c r="V132" s="41"/>
      <c r="W132"/>
      <c r="AB132"/>
      <c r="AC132"/>
      <c r="AI132"/>
      <c r="AJ132"/>
      <c r="AN132"/>
      <c r="AO132" s="9"/>
      <c r="AP132"/>
      <c r="AQ132" s="9"/>
      <c r="AR132"/>
      <c r="AS132" s="9"/>
      <c r="AT132"/>
      <c r="AU132" s="9"/>
      <c r="AV132" s="9"/>
      <c r="AW132" s="9"/>
      <c r="AX132"/>
      <c r="AY132" s="9"/>
      <c r="AZ132" s="9"/>
      <c r="BA132" s="9"/>
      <c r="BB132" s="9"/>
      <c r="BC132" s="9"/>
      <c r="BD132" s="9"/>
      <c r="BE132" s="9"/>
      <c r="BF132"/>
      <c r="BG132" s="9"/>
    </row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132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12.7109375" bestFit="1" customWidth="1"/>
    <col min="5" max="5" width="8.140625" customWidth="1"/>
    <col min="6" max="6" width="8.140625" style="41" customWidth="1"/>
    <col min="7" max="7" width="8.140625" customWidth="1"/>
    <col min="8" max="10" width="8.140625" style="13" customWidth="1"/>
    <col min="11" max="11" width="8.140625" style="261" customWidth="1"/>
    <col min="12" max="12" width="8.140625" customWidth="1"/>
    <col min="13" max="13" width="8.140625" style="13" customWidth="1"/>
    <col min="14" max="14" width="8.140625" customWidth="1"/>
    <col min="15" max="17" width="8.140625" style="13" customWidth="1"/>
    <col min="18" max="18" width="8.140625" customWidth="1"/>
    <col min="19" max="19" width="8.140625" style="41" customWidth="1"/>
    <col min="20" max="20" width="8.140625" style="46" customWidth="1"/>
    <col min="21" max="21" width="8.140625" style="30" customWidth="1"/>
    <col min="22" max="22" width="8.140625" style="41" customWidth="1"/>
    <col min="23" max="23" width="8.140625" customWidth="1"/>
    <col min="24" max="27" width="8.140625" style="13" customWidth="1"/>
    <col min="28" max="29" width="8.140625" customWidth="1"/>
    <col min="30" max="34" width="8.140625" style="13" customWidth="1"/>
    <col min="35" max="35" width="8.140625" customWidth="1"/>
    <col min="36" max="36" width="6.28515625" customWidth="1"/>
    <col min="37" max="37" width="8.140625" style="13" customWidth="1"/>
    <col min="38" max="38" width="7.5703125" style="13" bestFit="1" customWidth="1"/>
    <col min="39" max="39" width="8.140625" style="13" bestFit="1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8.140625" customWidth="1"/>
    <col min="45" max="45" width="8.140625" style="9" customWidth="1"/>
    <col min="46" max="46" width="8.140625" customWidth="1"/>
    <col min="47" max="49" width="8.140625" style="9" customWidth="1"/>
    <col min="50" max="50" width="8.140625" customWidth="1"/>
    <col min="51" max="57" width="8.140625" style="9" customWidth="1"/>
    <col min="58" max="58" width="8.140625" customWidth="1"/>
    <col min="59" max="59" width="8.140625" style="9" customWidth="1"/>
    <col min="60" max="60" width="10.42578125" bestFit="1" customWidth="1"/>
    <col min="61" max="73" width="8.140625" customWidth="1"/>
  </cols>
  <sheetData>
    <row r="1" spans="1:59" s="6" customFormat="1" x14ac:dyDescent="0.25">
      <c r="D1" s="6" t="s">
        <v>287</v>
      </c>
      <c r="E1" s="7" t="s">
        <v>1</v>
      </c>
      <c r="F1" s="40" t="s">
        <v>4</v>
      </c>
      <c r="G1" s="6" t="s">
        <v>7</v>
      </c>
      <c r="H1" s="12" t="s">
        <v>4</v>
      </c>
      <c r="I1" s="6" t="s">
        <v>149</v>
      </c>
      <c r="J1" s="12" t="s">
        <v>148</v>
      </c>
      <c r="K1" s="256" t="s">
        <v>8</v>
      </c>
      <c r="L1" s="6" t="s">
        <v>16</v>
      </c>
      <c r="M1" s="12" t="s">
        <v>4</v>
      </c>
      <c r="N1" s="6" t="s">
        <v>7</v>
      </c>
      <c r="O1" s="12" t="s">
        <v>4</v>
      </c>
      <c r="P1" s="6" t="s">
        <v>149</v>
      </c>
      <c r="Q1" s="12" t="s">
        <v>148</v>
      </c>
      <c r="R1" s="232" t="s">
        <v>8</v>
      </c>
      <c r="S1" s="231" t="s">
        <v>20</v>
      </c>
      <c r="T1" s="257" t="s">
        <v>42</v>
      </c>
      <c r="U1" s="296" t="s">
        <v>2</v>
      </c>
      <c r="V1" s="40" t="s">
        <v>4</v>
      </c>
      <c r="W1" s="6" t="s">
        <v>7</v>
      </c>
      <c r="X1" s="12" t="s">
        <v>4</v>
      </c>
      <c r="Y1" s="6" t="s">
        <v>149</v>
      </c>
      <c r="Z1" s="12" t="s">
        <v>148</v>
      </c>
      <c r="AA1" s="111" t="s">
        <v>8</v>
      </c>
      <c r="AB1" s="6" t="s">
        <v>45</v>
      </c>
      <c r="AC1" s="6" t="s">
        <v>7</v>
      </c>
      <c r="AD1" s="12" t="s">
        <v>4</v>
      </c>
      <c r="AE1" s="6" t="s">
        <v>149</v>
      </c>
      <c r="AF1" s="12" t="s">
        <v>148</v>
      </c>
      <c r="AG1" s="111" t="s">
        <v>8</v>
      </c>
      <c r="AH1" s="12" t="s">
        <v>19</v>
      </c>
      <c r="AI1" s="9" t="s">
        <v>6</v>
      </c>
      <c r="AJ1" s="9" t="s">
        <v>5</v>
      </c>
      <c r="AK1" s="12" t="s">
        <v>8</v>
      </c>
      <c r="AL1" s="6" t="s">
        <v>25</v>
      </c>
      <c r="AM1" s="6" t="s">
        <v>22</v>
      </c>
      <c r="AN1" s="7" t="s">
        <v>9</v>
      </c>
      <c r="AO1" s="9" t="s">
        <v>5</v>
      </c>
      <c r="AP1" s="6" t="s">
        <v>153</v>
      </c>
      <c r="AQ1" s="9" t="s">
        <v>5</v>
      </c>
      <c r="AR1" s="6" t="s">
        <v>154</v>
      </c>
      <c r="AS1" s="9" t="s">
        <v>5</v>
      </c>
      <c r="AT1" s="6" t="s">
        <v>39</v>
      </c>
      <c r="AU1" s="9" t="s">
        <v>5</v>
      </c>
      <c r="AV1" s="6" t="s">
        <v>155</v>
      </c>
      <c r="AW1" s="9" t="s">
        <v>5</v>
      </c>
      <c r="AX1" s="6" t="s">
        <v>152</v>
      </c>
      <c r="AY1" s="9" t="s">
        <v>5</v>
      </c>
      <c r="AZ1" s="6" t="s">
        <v>157</v>
      </c>
      <c r="BA1" s="9" t="s">
        <v>5</v>
      </c>
      <c r="BB1" s="6" t="s">
        <v>156</v>
      </c>
      <c r="BC1" s="9" t="s">
        <v>5</v>
      </c>
      <c r="BD1" s="6" t="s">
        <v>158</v>
      </c>
      <c r="BE1" s="9" t="s">
        <v>5</v>
      </c>
      <c r="BF1" s="6" t="s">
        <v>159</v>
      </c>
      <c r="BG1" s="37" t="s">
        <v>5</v>
      </c>
    </row>
    <row r="2" spans="1:59" x14ac:dyDescent="0.25">
      <c r="B2" s="1" t="s">
        <v>0</v>
      </c>
      <c r="C2" s="81"/>
      <c r="D2" s="81"/>
      <c r="E2" s="3">
        <v>10</v>
      </c>
      <c r="G2" s="2"/>
      <c r="H2" s="14"/>
      <c r="I2" s="159">
        <v>129</v>
      </c>
      <c r="J2" s="147"/>
      <c r="K2" s="258"/>
      <c r="P2" s="159"/>
      <c r="Q2" s="147"/>
      <c r="R2" s="11"/>
      <c r="S2" s="223"/>
      <c r="T2" s="26"/>
      <c r="Y2" s="159"/>
      <c r="Z2" s="147"/>
      <c r="AA2" s="263"/>
      <c r="AE2" s="159"/>
      <c r="AF2" s="147"/>
      <c r="AG2" s="263"/>
      <c r="AH2" s="13">
        <f t="shared" ref="AH2:AH78" si="0">F2+M2+V2+AB2+S2</f>
        <v>0</v>
      </c>
      <c r="AI2" s="87">
        <f t="shared" ref="AI2:AI78" si="1">E2+L2+V2+AB2+S2</f>
        <v>10</v>
      </c>
      <c r="AJ2" s="27">
        <f t="shared" ref="AJ2:AJ95" si="2">AH2-AI2</f>
        <v>-10</v>
      </c>
      <c r="AK2" s="63">
        <f t="shared" ref="AK2:AK78" si="3">K2+R2+AA2+AG2+T2</f>
        <v>0</v>
      </c>
      <c r="AL2" s="59"/>
      <c r="AM2"/>
      <c r="AN2" s="3">
        <v>80.7</v>
      </c>
      <c r="AP2">
        <v>92</v>
      </c>
      <c r="AR2">
        <v>95</v>
      </c>
      <c r="AT2">
        <v>98</v>
      </c>
      <c r="AV2">
        <v>58</v>
      </c>
      <c r="AX2">
        <v>58</v>
      </c>
      <c r="AZ2">
        <v>41</v>
      </c>
      <c r="BB2">
        <v>41</v>
      </c>
      <c r="BD2">
        <v>30</v>
      </c>
      <c r="BF2">
        <v>30</v>
      </c>
      <c r="BG2" s="39"/>
    </row>
    <row r="3" spans="1:59" x14ac:dyDescent="0.25">
      <c r="B3" s="1" t="s">
        <v>24</v>
      </c>
      <c r="C3" s="81"/>
      <c r="D3" s="81"/>
      <c r="E3" s="3">
        <v>10</v>
      </c>
      <c r="G3" s="2">
        <v>0.20347222222222219</v>
      </c>
      <c r="H3" s="14"/>
      <c r="I3" s="159">
        <v>143</v>
      </c>
      <c r="J3" s="147"/>
      <c r="K3" s="258"/>
      <c r="P3" s="159"/>
      <c r="Q3" s="147"/>
      <c r="R3" s="11"/>
      <c r="S3" s="223"/>
      <c r="T3" s="26"/>
      <c r="Y3" s="159"/>
      <c r="Z3" s="147"/>
      <c r="AA3" s="263"/>
      <c r="AE3" s="159"/>
      <c r="AF3" s="147"/>
      <c r="AG3" s="263"/>
      <c r="AH3" s="13">
        <f t="shared" si="0"/>
        <v>0</v>
      </c>
      <c r="AI3" s="87">
        <f t="shared" si="1"/>
        <v>10</v>
      </c>
      <c r="AJ3" s="27">
        <f t="shared" si="2"/>
        <v>-10</v>
      </c>
      <c r="AK3" s="63">
        <f t="shared" si="3"/>
        <v>0</v>
      </c>
      <c r="AL3" s="59"/>
      <c r="AM3"/>
      <c r="AN3" s="3"/>
      <c r="AV3"/>
      <c r="AZ3"/>
      <c r="BB3"/>
      <c r="BD3"/>
      <c r="BG3" s="37"/>
    </row>
    <row r="4" spans="1:59" x14ac:dyDescent="0.25">
      <c r="A4" s="25">
        <v>7</v>
      </c>
      <c r="B4" s="1" t="s">
        <v>15</v>
      </c>
      <c r="C4" s="81"/>
      <c r="D4" s="81"/>
      <c r="E4" s="3">
        <v>10</v>
      </c>
      <c r="G4" s="2"/>
      <c r="H4" s="14"/>
      <c r="I4" s="159">
        <v>129</v>
      </c>
      <c r="J4" s="147"/>
      <c r="K4" s="258"/>
      <c r="N4" s="2"/>
      <c r="O4" s="14"/>
      <c r="P4" s="159"/>
      <c r="Q4" s="147"/>
      <c r="R4" s="26"/>
      <c r="S4" s="223"/>
      <c r="T4" s="26"/>
      <c r="W4" s="2"/>
      <c r="X4" s="14"/>
      <c r="Y4" s="159"/>
      <c r="Z4" s="147"/>
      <c r="AA4" s="264"/>
      <c r="AE4" s="159"/>
      <c r="AF4" s="147"/>
      <c r="AG4" s="263"/>
      <c r="AH4" s="13">
        <f t="shared" si="0"/>
        <v>0</v>
      </c>
      <c r="AI4" s="87">
        <f t="shared" si="1"/>
        <v>10</v>
      </c>
      <c r="AJ4" s="27">
        <f t="shared" si="2"/>
        <v>-10</v>
      </c>
      <c r="AK4" s="63">
        <f t="shared" si="3"/>
        <v>0</v>
      </c>
      <c r="AL4" s="59"/>
      <c r="AM4"/>
      <c r="AN4" s="3"/>
      <c r="AV4"/>
      <c r="AZ4"/>
      <c r="BB4"/>
      <c r="BD4"/>
      <c r="BG4" s="37"/>
    </row>
    <row r="5" spans="1:59" x14ac:dyDescent="0.25">
      <c r="A5" s="25"/>
      <c r="B5" s="1" t="s">
        <v>26</v>
      </c>
      <c r="C5" s="81"/>
      <c r="D5" s="81"/>
      <c r="E5" s="3">
        <v>14</v>
      </c>
      <c r="G5" s="2">
        <v>0.20347222222222219</v>
      </c>
      <c r="H5" s="14"/>
      <c r="I5" s="159">
        <v>143</v>
      </c>
      <c r="J5" s="262"/>
      <c r="K5" s="258"/>
      <c r="N5" s="2"/>
      <c r="O5" s="14"/>
      <c r="P5" s="159"/>
      <c r="Q5" s="147"/>
      <c r="R5" s="26"/>
      <c r="S5" s="223"/>
      <c r="T5" s="26"/>
      <c r="W5" s="2"/>
      <c r="X5" s="14"/>
      <c r="Y5" s="159"/>
      <c r="Z5" s="147"/>
      <c r="AA5" s="264"/>
      <c r="AE5" s="159"/>
      <c r="AF5" s="147"/>
      <c r="AG5" s="263"/>
      <c r="AH5" s="13">
        <f t="shared" si="0"/>
        <v>0</v>
      </c>
      <c r="AI5" s="87">
        <f t="shared" si="1"/>
        <v>14</v>
      </c>
      <c r="AJ5" s="27">
        <f t="shared" si="2"/>
        <v>-14</v>
      </c>
      <c r="AK5" s="63">
        <f t="shared" si="3"/>
        <v>0</v>
      </c>
      <c r="AL5" s="59"/>
      <c r="AM5"/>
      <c r="AN5" s="3"/>
      <c r="AV5"/>
      <c r="AZ5"/>
      <c r="BB5"/>
      <c r="BD5"/>
      <c r="BG5" s="37"/>
    </row>
    <row r="6" spans="1:59" x14ac:dyDescent="0.25">
      <c r="A6" s="25"/>
      <c r="B6" s="1" t="s">
        <v>29</v>
      </c>
      <c r="C6" s="81"/>
      <c r="D6" s="81"/>
      <c r="E6" s="3"/>
      <c r="G6" s="2"/>
      <c r="H6" s="14"/>
      <c r="I6" s="159"/>
      <c r="J6" s="147"/>
      <c r="K6" s="258"/>
      <c r="L6">
        <v>6</v>
      </c>
      <c r="N6" s="2"/>
      <c r="O6" s="14"/>
      <c r="P6" s="159">
        <v>143</v>
      </c>
      <c r="Q6" s="147"/>
      <c r="R6" s="26"/>
      <c r="S6" s="223"/>
      <c r="T6" s="26"/>
      <c r="U6" s="30" t="s">
        <v>202</v>
      </c>
      <c r="W6" s="2">
        <v>0.16250000000000001</v>
      </c>
      <c r="X6" s="14"/>
      <c r="Y6" s="159">
        <v>171</v>
      </c>
      <c r="Z6" s="147"/>
      <c r="AA6" s="264"/>
      <c r="AE6" s="159"/>
      <c r="AF6" s="147"/>
      <c r="AG6" s="263"/>
      <c r="AH6" s="13">
        <f t="shared" si="0"/>
        <v>0</v>
      </c>
      <c r="AI6" s="87">
        <f t="shared" si="1"/>
        <v>6</v>
      </c>
      <c r="AJ6" s="27">
        <f t="shared" si="2"/>
        <v>-6</v>
      </c>
      <c r="AK6" s="63">
        <f t="shared" si="3"/>
        <v>0</v>
      </c>
      <c r="AL6" s="59"/>
      <c r="AM6"/>
      <c r="AN6" s="3"/>
      <c r="AV6"/>
      <c r="AZ6"/>
      <c r="BB6"/>
      <c r="BD6"/>
      <c r="BG6" s="37"/>
    </row>
    <row r="7" spans="1:59" x14ac:dyDescent="0.25">
      <c r="A7" s="18"/>
      <c r="B7" s="17" t="s">
        <v>27</v>
      </c>
      <c r="C7" s="85"/>
      <c r="D7" s="85"/>
      <c r="E7" s="19">
        <v>24</v>
      </c>
      <c r="F7" s="42"/>
      <c r="G7" s="21">
        <v>0.20347222222222219</v>
      </c>
      <c r="H7" s="22"/>
      <c r="I7" s="160">
        <v>157</v>
      </c>
      <c r="J7" s="156"/>
      <c r="K7" s="259"/>
      <c r="L7" s="18"/>
      <c r="M7" s="20"/>
      <c r="N7" s="18"/>
      <c r="O7" s="20"/>
      <c r="P7" s="160"/>
      <c r="Q7" s="156"/>
      <c r="R7" s="18"/>
      <c r="S7" s="224"/>
      <c r="T7" s="84"/>
      <c r="U7" s="31"/>
      <c r="V7" s="42"/>
      <c r="W7" s="18"/>
      <c r="X7" s="20"/>
      <c r="Y7" s="160"/>
      <c r="Z7" s="156"/>
      <c r="AA7" s="265"/>
      <c r="AB7" s="18"/>
      <c r="AC7" s="18"/>
      <c r="AD7" s="20"/>
      <c r="AE7" s="160"/>
      <c r="AF7" s="156"/>
      <c r="AG7" s="265"/>
      <c r="AH7" s="20">
        <f t="shared" si="0"/>
        <v>0</v>
      </c>
      <c r="AI7" s="88">
        <f t="shared" si="1"/>
        <v>24</v>
      </c>
      <c r="AJ7" s="18">
        <f t="shared" si="2"/>
        <v>-24</v>
      </c>
      <c r="AK7" s="58">
        <f t="shared" si="3"/>
        <v>0</v>
      </c>
      <c r="AL7" s="57">
        <f>SUM(AH2:AH7)</f>
        <v>0</v>
      </c>
      <c r="AM7" s="21">
        <f>SUM(AK2:AK7)</f>
        <v>0</v>
      </c>
      <c r="AN7" s="19"/>
      <c r="AO7" s="36"/>
      <c r="AP7" s="18"/>
      <c r="AQ7" s="36"/>
      <c r="AR7" s="18"/>
      <c r="AS7" s="36"/>
      <c r="AT7" s="18"/>
      <c r="AU7" s="36"/>
      <c r="AV7" s="18"/>
      <c r="AW7" s="36"/>
      <c r="AX7" s="18"/>
      <c r="AY7" s="36"/>
      <c r="AZ7" s="18"/>
      <c r="BA7" s="36"/>
      <c r="BB7" s="18"/>
      <c r="BC7" s="36"/>
      <c r="BD7" s="18"/>
      <c r="BE7" s="36"/>
      <c r="BF7" s="18"/>
      <c r="BG7" s="38"/>
    </row>
    <row r="8" spans="1:59" x14ac:dyDescent="0.25">
      <c r="B8" s="1" t="s">
        <v>0</v>
      </c>
      <c r="C8" s="81"/>
      <c r="D8" s="81"/>
      <c r="E8" s="3">
        <v>10</v>
      </c>
      <c r="G8" s="2"/>
      <c r="H8" s="14"/>
      <c r="I8" s="159">
        <v>129</v>
      </c>
      <c r="J8" s="147"/>
      <c r="K8" s="258"/>
      <c r="N8" s="2"/>
      <c r="O8" s="14"/>
      <c r="P8" s="159"/>
      <c r="Q8" s="147"/>
      <c r="R8" s="26"/>
      <c r="S8" s="223"/>
      <c r="T8" s="26"/>
      <c r="W8" s="2"/>
      <c r="X8" s="14"/>
      <c r="Y8" s="159"/>
      <c r="Z8" s="147"/>
      <c r="AA8" s="233"/>
      <c r="AE8" s="159"/>
      <c r="AF8" s="147"/>
      <c r="AG8" s="263"/>
      <c r="AH8" s="13">
        <f t="shared" si="0"/>
        <v>0</v>
      </c>
      <c r="AI8" s="87">
        <f t="shared" si="1"/>
        <v>10</v>
      </c>
      <c r="AJ8" s="27">
        <f t="shared" si="2"/>
        <v>-10</v>
      </c>
      <c r="AK8" s="63">
        <f t="shared" si="3"/>
        <v>0</v>
      </c>
      <c r="AL8" s="59"/>
      <c r="AM8"/>
      <c r="AN8" s="3"/>
      <c r="AO8" s="9">
        <f>$AN$2-AN8</f>
        <v>80.7</v>
      </c>
      <c r="AQ8" s="9">
        <f>$AP$2-AP8</f>
        <v>92</v>
      </c>
      <c r="AS8" s="9">
        <f>$AR$2-AR8</f>
        <v>95</v>
      </c>
      <c r="AU8" s="9">
        <f>$AT$2-AT8</f>
        <v>98</v>
      </c>
      <c r="AV8"/>
      <c r="AW8" s="9">
        <f>$AV$2-AV8</f>
        <v>58</v>
      </c>
      <c r="AY8" s="9">
        <f>$AX$2-AX8</f>
        <v>58</v>
      </c>
      <c r="AZ8"/>
      <c r="BA8" s="9">
        <f>$AZ$2-AZ8</f>
        <v>41</v>
      </c>
      <c r="BB8"/>
      <c r="BC8" s="9">
        <f>$BB$2-BB8</f>
        <v>41</v>
      </c>
      <c r="BD8"/>
      <c r="BE8" s="9">
        <f>$BD$2-BD8</f>
        <v>30</v>
      </c>
      <c r="BG8" s="37">
        <f>$BF$2-BF8</f>
        <v>30</v>
      </c>
    </row>
    <row r="9" spans="1:59" x14ac:dyDescent="0.25">
      <c r="B9" s="1" t="s">
        <v>24</v>
      </c>
      <c r="C9" s="81"/>
      <c r="D9" s="81"/>
      <c r="E9" s="3">
        <v>12</v>
      </c>
      <c r="G9" s="2">
        <v>0.20347222222222219</v>
      </c>
      <c r="H9" s="14"/>
      <c r="I9" s="159">
        <v>143</v>
      </c>
      <c r="J9" s="262"/>
      <c r="K9" s="258"/>
      <c r="N9" s="2"/>
      <c r="O9" s="14"/>
      <c r="P9" s="159"/>
      <c r="Q9" s="147"/>
      <c r="R9" s="26"/>
      <c r="S9" s="223"/>
      <c r="T9" s="26"/>
      <c r="W9" s="2"/>
      <c r="X9" s="14"/>
      <c r="Y9" s="159"/>
      <c r="Z9" s="147"/>
      <c r="AA9" s="233"/>
      <c r="AE9" s="159"/>
      <c r="AF9" s="147"/>
      <c r="AG9" s="263"/>
      <c r="AH9" s="13">
        <f t="shared" si="0"/>
        <v>0</v>
      </c>
      <c r="AI9" s="87">
        <f t="shared" si="1"/>
        <v>12</v>
      </c>
      <c r="AJ9" s="27">
        <f t="shared" si="2"/>
        <v>-12</v>
      </c>
      <c r="AK9" s="63">
        <f t="shared" si="3"/>
        <v>0</v>
      </c>
      <c r="AL9" s="59"/>
      <c r="AM9"/>
      <c r="AN9" s="3"/>
      <c r="AV9"/>
      <c r="AZ9"/>
      <c r="BB9"/>
      <c r="BD9"/>
      <c r="BG9" s="37"/>
    </row>
    <row r="10" spans="1:59" x14ac:dyDescent="0.25">
      <c r="A10" s="6">
        <v>8</v>
      </c>
      <c r="B10" s="1" t="s">
        <v>15</v>
      </c>
      <c r="C10" s="81"/>
      <c r="D10" s="81"/>
      <c r="E10" s="3">
        <v>10</v>
      </c>
      <c r="G10" s="2"/>
      <c r="H10" s="14"/>
      <c r="I10" s="159">
        <v>129</v>
      </c>
      <c r="J10" s="262"/>
      <c r="K10" s="258"/>
      <c r="N10" s="2"/>
      <c r="O10" s="14"/>
      <c r="P10" s="159"/>
      <c r="Q10" s="147"/>
      <c r="R10" s="26"/>
      <c r="S10" s="223"/>
      <c r="T10" s="26"/>
      <c r="W10" s="2"/>
      <c r="X10" s="14"/>
      <c r="Y10" s="159"/>
      <c r="Z10" s="147"/>
      <c r="AA10" s="233"/>
      <c r="AE10" s="159"/>
      <c r="AF10" s="147"/>
      <c r="AG10" s="263"/>
      <c r="AH10" s="13">
        <f t="shared" si="0"/>
        <v>0</v>
      </c>
      <c r="AI10" s="87">
        <f t="shared" si="1"/>
        <v>10</v>
      </c>
      <c r="AJ10" s="27">
        <f t="shared" si="2"/>
        <v>-10</v>
      </c>
      <c r="AK10" s="63">
        <f t="shared" si="3"/>
        <v>0</v>
      </c>
      <c r="AL10" s="59"/>
      <c r="AM10"/>
      <c r="AN10" s="3"/>
      <c r="AV10"/>
      <c r="AZ10"/>
      <c r="BB10"/>
      <c r="BD10"/>
      <c r="BG10" s="37"/>
    </row>
    <row r="11" spans="1:59" x14ac:dyDescent="0.25">
      <c r="A11" s="6"/>
      <c r="B11" s="1" t="s">
        <v>26</v>
      </c>
      <c r="C11" s="81"/>
      <c r="D11" s="81"/>
      <c r="E11" s="3">
        <v>14</v>
      </c>
      <c r="G11" s="2">
        <v>0.20347222222222219</v>
      </c>
      <c r="H11" s="14"/>
      <c r="I11" s="159">
        <v>143</v>
      </c>
      <c r="J11" s="147"/>
      <c r="K11" s="258"/>
      <c r="N11" s="2"/>
      <c r="O11" s="14"/>
      <c r="P11" s="159"/>
      <c r="Q11" s="147"/>
      <c r="R11" s="26"/>
      <c r="S11" s="223"/>
      <c r="T11" s="26"/>
      <c r="W11" s="2"/>
      <c r="X11" s="14"/>
      <c r="Y11" s="159"/>
      <c r="Z11" s="147"/>
      <c r="AA11" s="233"/>
      <c r="AE11" s="159"/>
      <c r="AF11" s="147"/>
      <c r="AG11" s="263"/>
      <c r="AH11" s="13">
        <f t="shared" si="0"/>
        <v>0</v>
      </c>
      <c r="AI11" s="87">
        <f t="shared" si="1"/>
        <v>14</v>
      </c>
      <c r="AJ11" s="27">
        <f t="shared" si="2"/>
        <v>-14</v>
      </c>
      <c r="AK11" s="63">
        <f t="shared" si="3"/>
        <v>0</v>
      </c>
      <c r="AL11" s="59"/>
      <c r="AM11"/>
      <c r="AN11" s="3"/>
      <c r="AV11"/>
      <c r="AZ11"/>
      <c r="BB11"/>
      <c r="BD11"/>
      <c r="BG11" s="37"/>
    </row>
    <row r="12" spans="1:59" x14ac:dyDescent="0.25">
      <c r="A12" s="6"/>
      <c r="B12" s="1" t="s">
        <v>29</v>
      </c>
      <c r="C12" s="81"/>
      <c r="D12" s="81"/>
      <c r="E12" s="3"/>
      <c r="G12" s="2"/>
      <c r="H12" s="14"/>
      <c r="I12" s="159"/>
      <c r="J12" s="147"/>
      <c r="K12" s="258"/>
      <c r="L12">
        <v>6</v>
      </c>
      <c r="N12" s="2"/>
      <c r="O12" s="14"/>
      <c r="P12" s="159">
        <v>143</v>
      </c>
      <c r="Q12" s="147"/>
      <c r="R12" s="26"/>
      <c r="S12" s="223"/>
      <c r="T12" s="26"/>
      <c r="W12" s="2"/>
      <c r="X12" s="14"/>
      <c r="Y12" s="159"/>
      <c r="Z12" s="147"/>
      <c r="AA12" s="233"/>
      <c r="AB12">
        <v>6</v>
      </c>
      <c r="AC12" s="2">
        <v>0.16250000000000001</v>
      </c>
      <c r="AD12" s="14"/>
      <c r="AE12" s="159">
        <v>170</v>
      </c>
      <c r="AF12" s="147"/>
      <c r="AG12" s="233"/>
      <c r="AH12" s="13">
        <f t="shared" si="0"/>
        <v>6</v>
      </c>
      <c r="AI12" s="87">
        <f t="shared" si="1"/>
        <v>12</v>
      </c>
      <c r="AJ12" s="27">
        <f t="shared" si="2"/>
        <v>-6</v>
      </c>
      <c r="AK12" s="63">
        <f t="shared" si="3"/>
        <v>0</v>
      </c>
      <c r="AL12" s="59"/>
      <c r="AM12"/>
      <c r="AN12" s="3"/>
      <c r="AV12"/>
      <c r="AZ12"/>
      <c r="BB12"/>
      <c r="BD12"/>
      <c r="BG12" s="37"/>
    </row>
    <row r="13" spans="1:59" x14ac:dyDescent="0.25">
      <c r="A13" s="56"/>
      <c r="B13" s="17" t="s">
        <v>27</v>
      </c>
      <c r="C13" s="85"/>
      <c r="D13" s="85"/>
      <c r="E13" s="19">
        <v>24</v>
      </c>
      <c r="F13" s="42"/>
      <c r="G13" s="21">
        <v>0.20347222222222219</v>
      </c>
      <c r="H13" s="22"/>
      <c r="I13" s="160">
        <v>157</v>
      </c>
      <c r="J13" s="156"/>
      <c r="K13" s="259"/>
      <c r="L13" s="18"/>
      <c r="M13" s="20"/>
      <c r="N13" s="21"/>
      <c r="O13" s="20"/>
      <c r="P13" s="160"/>
      <c r="Q13" s="156"/>
      <c r="R13" s="18"/>
      <c r="S13" s="224"/>
      <c r="T13" s="84"/>
      <c r="U13" s="31"/>
      <c r="V13" s="42"/>
      <c r="W13" s="21"/>
      <c r="X13" s="20"/>
      <c r="Y13" s="160"/>
      <c r="Z13" s="156"/>
      <c r="AA13" s="265"/>
      <c r="AB13" s="18"/>
      <c r="AC13" s="18"/>
      <c r="AD13" s="20"/>
      <c r="AE13" s="160"/>
      <c r="AF13" s="156"/>
      <c r="AG13" s="265"/>
      <c r="AH13" s="20">
        <f t="shared" si="0"/>
        <v>0</v>
      </c>
      <c r="AI13" s="88">
        <f t="shared" si="1"/>
        <v>24</v>
      </c>
      <c r="AJ13" s="34">
        <f t="shared" si="2"/>
        <v>-24</v>
      </c>
      <c r="AK13" s="58">
        <f t="shared" si="3"/>
        <v>0</v>
      </c>
      <c r="AL13" s="57">
        <f>SUM(AH8:AH13)</f>
        <v>6</v>
      </c>
      <c r="AM13" s="21">
        <f>SUM(AK8:AK13)</f>
        <v>0</v>
      </c>
      <c r="AN13" s="19"/>
      <c r="AO13" s="36"/>
      <c r="AP13" s="18"/>
      <c r="AQ13" s="36"/>
      <c r="AR13" s="18"/>
      <c r="AS13" s="36"/>
      <c r="AT13" s="18"/>
      <c r="AU13" s="36"/>
      <c r="AV13" s="18"/>
      <c r="AW13" s="36"/>
      <c r="AX13" s="18"/>
      <c r="AY13" s="36"/>
      <c r="AZ13" s="18"/>
      <c r="BA13" s="36"/>
      <c r="BB13" s="18"/>
      <c r="BC13" s="36"/>
      <c r="BD13" s="18"/>
      <c r="BE13" s="36"/>
      <c r="BF13" s="18"/>
      <c r="BG13" s="38"/>
    </row>
    <row r="14" spans="1:59" x14ac:dyDescent="0.25">
      <c r="B14" s="1" t="s">
        <v>0</v>
      </c>
      <c r="C14" s="81">
        <v>42660</v>
      </c>
      <c r="D14" s="81"/>
      <c r="E14" s="3">
        <v>10</v>
      </c>
      <c r="F14" s="41">
        <f>9.31+3.16</f>
        <v>12.47</v>
      </c>
      <c r="G14" s="2"/>
      <c r="H14" s="14">
        <v>0.25</v>
      </c>
      <c r="I14" s="159">
        <v>129</v>
      </c>
      <c r="J14" s="147">
        <v>135</v>
      </c>
      <c r="K14" s="258">
        <v>5.3657407407407404E-2</v>
      </c>
      <c r="N14" s="2"/>
      <c r="O14" s="14"/>
      <c r="P14" s="159"/>
      <c r="Q14" s="147"/>
      <c r="R14" s="26"/>
      <c r="S14" s="223"/>
      <c r="T14" s="26"/>
      <c r="W14" s="2"/>
      <c r="X14" s="14"/>
      <c r="Y14" s="159"/>
      <c r="Z14" s="147"/>
      <c r="AA14" s="233"/>
      <c r="AE14" s="159"/>
      <c r="AF14" s="147"/>
      <c r="AG14" s="263"/>
      <c r="AH14" s="13">
        <f t="shared" si="0"/>
        <v>12.47</v>
      </c>
      <c r="AI14" s="87">
        <f t="shared" si="1"/>
        <v>10</v>
      </c>
      <c r="AJ14" s="27">
        <f t="shared" si="2"/>
        <v>2.4700000000000006</v>
      </c>
      <c r="AK14" s="63">
        <f t="shared" si="3"/>
        <v>5.3657407407407404E-2</v>
      </c>
      <c r="AL14" s="59"/>
      <c r="AM14"/>
      <c r="AN14" s="3"/>
      <c r="AO14" s="9">
        <f>$AN$2-AN14</f>
        <v>80.7</v>
      </c>
      <c r="AQ14" s="9">
        <f>$AP$2-AP14</f>
        <v>92</v>
      </c>
      <c r="AS14" s="9">
        <f>$AR$2-AR14</f>
        <v>95</v>
      </c>
      <c r="AU14" s="9">
        <f>$AT$2-AT14</f>
        <v>98</v>
      </c>
      <c r="AV14"/>
      <c r="AW14" s="9">
        <f>$AV$2-AV14</f>
        <v>58</v>
      </c>
      <c r="AY14" s="9">
        <f>$AX$2-AX14</f>
        <v>58</v>
      </c>
      <c r="AZ14"/>
      <c r="BA14" s="9">
        <f>$AZ$2-AZ14</f>
        <v>41</v>
      </c>
      <c r="BB14"/>
      <c r="BC14" s="9">
        <f>$BB$2-BB14</f>
        <v>41</v>
      </c>
      <c r="BD14"/>
      <c r="BE14" s="9">
        <f>$BD$2-BD14</f>
        <v>30</v>
      </c>
      <c r="BG14" s="37">
        <f>$BF$2-BF14</f>
        <v>30</v>
      </c>
    </row>
    <row r="15" spans="1:59" x14ac:dyDescent="0.25">
      <c r="B15" s="1" t="s">
        <v>24</v>
      </c>
      <c r="C15" s="81">
        <v>42661</v>
      </c>
      <c r="D15" s="81"/>
      <c r="E15" s="3">
        <v>12</v>
      </c>
      <c r="F15" s="41">
        <v>11.29</v>
      </c>
      <c r="G15" s="2">
        <v>0.20347222222222219</v>
      </c>
      <c r="H15" s="14">
        <v>0.19375000000000001</v>
      </c>
      <c r="I15" s="159">
        <v>143</v>
      </c>
      <c r="J15" s="262">
        <v>146</v>
      </c>
      <c r="K15" s="258">
        <v>3.650462962962963E-2</v>
      </c>
      <c r="N15" s="2"/>
      <c r="O15" s="14"/>
      <c r="P15" s="159"/>
      <c r="Q15" s="147"/>
      <c r="R15" s="26"/>
      <c r="S15" s="223"/>
      <c r="T15" s="26"/>
      <c r="W15" s="2"/>
      <c r="X15" s="14"/>
      <c r="Y15" s="159"/>
      <c r="Z15" s="147"/>
      <c r="AA15" s="233"/>
      <c r="AE15" s="159"/>
      <c r="AF15" s="147"/>
      <c r="AG15" s="263"/>
      <c r="AH15" s="13">
        <f t="shared" si="0"/>
        <v>11.29</v>
      </c>
      <c r="AI15" s="87">
        <f t="shared" si="1"/>
        <v>12</v>
      </c>
      <c r="AJ15" s="27">
        <f t="shared" si="2"/>
        <v>-0.71000000000000085</v>
      </c>
      <c r="AK15" s="63">
        <f t="shared" si="3"/>
        <v>3.650462962962963E-2</v>
      </c>
      <c r="AL15" s="59"/>
      <c r="AM15"/>
      <c r="AN15" s="3"/>
      <c r="AV15"/>
      <c r="AZ15"/>
      <c r="BB15"/>
      <c r="BD15"/>
      <c r="BG15" s="37"/>
    </row>
    <row r="16" spans="1:59" x14ac:dyDescent="0.25">
      <c r="A16" s="6">
        <v>9</v>
      </c>
      <c r="B16" s="1" t="s">
        <v>15</v>
      </c>
      <c r="C16" s="81">
        <v>42662</v>
      </c>
      <c r="D16" s="81"/>
      <c r="E16" s="3">
        <v>10</v>
      </c>
      <c r="F16" s="41">
        <v>10</v>
      </c>
      <c r="G16" s="2"/>
      <c r="H16" s="14">
        <v>0.1986111111111111</v>
      </c>
      <c r="I16" s="159">
        <v>129</v>
      </c>
      <c r="J16" s="147">
        <v>136</v>
      </c>
      <c r="K16" s="258">
        <v>3.3136574074074075E-2</v>
      </c>
      <c r="N16" s="2"/>
      <c r="O16" s="14"/>
      <c r="P16" s="159"/>
      <c r="Q16" s="147"/>
      <c r="R16" s="26"/>
      <c r="S16" s="223"/>
      <c r="T16" s="26"/>
      <c r="W16" s="2"/>
      <c r="X16" s="14"/>
      <c r="Y16" s="159"/>
      <c r="Z16" s="147"/>
      <c r="AA16" s="233"/>
      <c r="AE16" s="159"/>
      <c r="AF16" s="147"/>
      <c r="AG16" s="263"/>
      <c r="AH16" s="13">
        <f t="shared" si="0"/>
        <v>10</v>
      </c>
      <c r="AI16" s="87">
        <f t="shared" si="1"/>
        <v>10</v>
      </c>
      <c r="AJ16" s="27">
        <f t="shared" si="2"/>
        <v>0</v>
      </c>
      <c r="AK16" s="63">
        <f t="shared" si="3"/>
        <v>3.3136574074074075E-2</v>
      </c>
      <c r="AL16" s="59"/>
      <c r="AM16"/>
      <c r="AN16" s="3"/>
      <c r="AV16"/>
      <c r="AZ16"/>
      <c r="BB16"/>
      <c r="BD16"/>
      <c r="BG16" s="37"/>
    </row>
    <row r="17" spans="1:59" x14ac:dyDescent="0.25">
      <c r="A17" s="6"/>
      <c r="B17" s="1" t="s">
        <v>26</v>
      </c>
      <c r="C17" s="81">
        <v>42663</v>
      </c>
      <c r="D17" s="81"/>
      <c r="E17" s="3">
        <v>14</v>
      </c>
      <c r="F17" s="41">
        <v>14.45</v>
      </c>
      <c r="G17" s="2">
        <v>0.20347222222222219</v>
      </c>
      <c r="H17" s="14">
        <v>0.19930555555555554</v>
      </c>
      <c r="I17" s="159">
        <v>143</v>
      </c>
      <c r="J17" s="147">
        <v>131</v>
      </c>
      <c r="K17" s="258">
        <v>4.8043981481481479E-2</v>
      </c>
      <c r="N17" s="2"/>
      <c r="O17" s="14"/>
      <c r="P17" s="159"/>
      <c r="Q17" s="147"/>
      <c r="R17" s="26"/>
      <c r="S17" s="223"/>
      <c r="T17" s="26"/>
      <c r="W17" s="2"/>
      <c r="X17" s="14"/>
      <c r="Y17" s="159"/>
      <c r="Z17" s="147"/>
      <c r="AA17" s="233"/>
      <c r="AE17" s="159"/>
      <c r="AF17" s="147"/>
      <c r="AG17" s="263"/>
      <c r="AH17" s="13">
        <f t="shared" si="0"/>
        <v>14.45</v>
      </c>
      <c r="AI17" s="87">
        <f t="shared" si="1"/>
        <v>14</v>
      </c>
      <c r="AJ17" s="27">
        <f t="shared" si="2"/>
        <v>0.44999999999999929</v>
      </c>
      <c r="AK17" s="63">
        <f t="shared" si="3"/>
        <v>4.8043981481481479E-2</v>
      </c>
      <c r="AL17" s="59"/>
      <c r="AM17"/>
      <c r="AN17" s="3"/>
      <c r="AV17"/>
      <c r="AZ17"/>
      <c r="BB17"/>
      <c r="BD17"/>
      <c r="BG17" s="37"/>
    </row>
    <row r="18" spans="1:59" x14ac:dyDescent="0.25">
      <c r="A18" s="6"/>
      <c r="B18" s="1" t="s">
        <v>29</v>
      </c>
      <c r="C18" s="81">
        <v>42664</v>
      </c>
      <c r="D18" s="81"/>
      <c r="E18" s="3"/>
      <c r="G18" s="2"/>
      <c r="H18" s="14"/>
      <c r="I18" s="159"/>
      <c r="J18" s="147"/>
      <c r="K18" s="258"/>
      <c r="L18">
        <v>6</v>
      </c>
      <c r="M18" s="13">
        <v>6</v>
      </c>
      <c r="N18" s="2"/>
      <c r="O18" s="14">
        <v>0.19930555555555554</v>
      </c>
      <c r="P18" s="159">
        <v>143</v>
      </c>
      <c r="Q18" s="147">
        <v>146</v>
      </c>
      <c r="R18" s="26">
        <v>1.9918981481481482E-2</v>
      </c>
      <c r="S18" s="223">
        <v>0.93</v>
      </c>
      <c r="T18" s="26">
        <v>4.1666666666666666E-3</v>
      </c>
      <c r="U18" s="30" t="s">
        <v>32</v>
      </c>
      <c r="V18" s="41">
        <v>8</v>
      </c>
      <c r="W18" s="2">
        <v>0.16250000000000001</v>
      </c>
      <c r="X18" s="14">
        <v>0.16111111111111112</v>
      </c>
      <c r="Y18" s="159">
        <v>171</v>
      </c>
      <c r="Z18" s="147">
        <v>157</v>
      </c>
      <c r="AA18" s="233">
        <v>2.1284722222222222E-2</v>
      </c>
      <c r="AE18" s="159"/>
      <c r="AF18" s="147"/>
      <c r="AG18" s="263"/>
      <c r="AH18" s="13">
        <f t="shared" si="0"/>
        <v>14.93</v>
      </c>
      <c r="AI18" s="87">
        <f t="shared" si="1"/>
        <v>14.93</v>
      </c>
      <c r="AJ18" s="27">
        <f t="shared" si="2"/>
        <v>0</v>
      </c>
      <c r="AK18" s="63">
        <f t="shared" si="3"/>
        <v>4.5370370370370366E-2</v>
      </c>
      <c r="AL18" s="59"/>
      <c r="AM18"/>
      <c r="AN18" s="3"/>
      <c r="AV18"/>
      <c r="AZ18"/>
      <c r="BB18"/>
      <c r="BD18"/>
      <c r="BG18" s="37"/>
    </row>
    <row r="19" spans="1:59" x14ac:dyDescent="0.25">
      <c r="A19" s="56"/>
      <c r="B19" s="17" t="s">
        <v>27</v>
      </c>
      <c r="C19" s="85">
        <v>42666</v>
      </c>
      <c r="D19" s="85"/>
      <c r="E19" s="19">
        <v>26</v>
      </c>
      <c r="F19" s="42">
        <v>26.04</v>
      </c>
      <c r="G19" s="21">
        <v>0.20347222222222219</v>
      </c>
      <c r="H19" s="22">
        <v>0.1986111111111111</v>
      </c>
      <c r="I19" s="160">
        <v>157</v>
      </c>
      <c r="J19" s="156">
        <v>141</v>
      </c>
      <c r="K19" s="259">
        <v>8.6145833333333324E-2</v>
      </c>
      <c r="L19" s="18"/>
      <c r="M19" s="20"/>
      <c r="N19" s="18"/>
      <c r="O19" s="20"/>
      <c r="P19" s="160"/>
      <c r="Q19" s="156"/>
      <c r="R19" s="18"/>
      <c r="S19" s="224"/>
      <c r="T19" s="84"/>
      <c r="U19" s="31"/>
      <c r="V19" s="42"/>
      <c r="W19" s="18"/>
      <c r="X19" s="20"/>
      <c r="Y19" s="160"/>
      <c r="Z19" s="156"/>
      <c r="AA19" s="265"/>
      <c r="AB19" s="18"/>
      <c r="AC19" s="18"/>
      <c r="AD19" s="20"/>
      <c r="AE19" s="160"/>
      <c r="AF19" s="156"/>
      <c r="AG19" s="265"/>
      <c r="AH19" s="20">
        <f t="shared" si="0"/>
        <v>26.04</v>
      </c>
      <c r="AI19" s="88">
        <f t="shared" si="1"/>
        <v>26</v>
      </c>
      <c r="AJ19" s="34">
        <f t="shared" si="2"/>
        <v>3.9999999999999147E-2</v>
      </c>
      <c r="AK19" s="58">
        <f t="shared" si="3"/>
        <v>8.6145833333333324E-2</v>
      </c>
      <c r="AL19" s="57">
        <f>SUM(AH14:AH19)</f>
        <v>89.179999999999993</v>
      </c>
      <c r="AM19" s="21">
        <f>SUM(AK14:AK19)</f>
        <v>0.30285879629629631</v>
      </c>
      <c r="AN19" s="19"/>
      <c r="AO19" s="36"/>
      <c r="AP19" s="18"/>
      <c r="AQ19" s="36"/>
      <c r="AR19" s="18"/>
      <c r="AS19" s="36"/>
      <c r="AT19" s="18"/>
      <c r="AU19" s="36"/>
      <c r="AV19" s="18"/>
      <c r="AW19" s="36"/>
      <c r="AX19" s="18"/>
      <c r="AY19" s="36"/>
      <c r="AZ19" s="18"/>
      <c r="BA19" s="36"/>
      <c r="BB19" s="18"/>
      <c r="BC19" s="36"/>
      <c r="BD19" s="18"/>
      <c r="BE19" s="36"/>
      <c r="BF19" s="18"/>
      <c r="BG19" s="38"/>
    </row>
    <row r="20" spans="1:59" x14ac:dyDescent="0.25">
      <c r="B20" s="1" t="s">
        <v>0</v>
      </c>
      <c r="C20" s="81">
        <v>42667</v>
      </c>
      <c r="D20" s="81"/>
      <c r="E20" s="3">
        <v>8</v>
      </c>
      <c r="F20" s="41">
        <v>8.17</v>
      </c>
      <c r="G20" s="2"/>
      <c r="H20" s="14"/>
      <c r="I20" s="159">
        <v>129</v>
      </c>
      <c r="J20" s="147">
        <v>129</v>
      </c>
      <c r="K20" s="258">
        <v>2.8437500000000001E-2</v>
      </c>
      <c r="N20" s="2"/>
      <c r="O20" s="14"/>
      <c r="P20" s="159"/>
      <c r="Q20" s="147"/>
      <c r="R20" s="26"/>
      <c r="S20" s="223"/>
      <c r="T20" s="26"/>
      <c r="W20" s="2"/>
      <c r="X20" s="14"/>
      <c r="Y20" s="159"/>
      <c r="Z20" s="147"/>
      <c r="AA20" s="233"/>
      <c r="AE20" s="159"/>
      <c r="AF20" s="147"/>
      <c r="AG20" s="263"/>
      <c r="AH20" s="13">
        <f t="shared" si="0"/>
        <v>8.17</v>
      </c>
      <c r="AI20" s="87">
        <f t="shared" si="1"/>
        <v>8</v>
      </c>
      <c r="AJ20" s="27">
        <f t="shared" si="2"/>
        <v>0.16999999999999993</v>
      </c>
      <c r="AK20" s="63">
        <f t="shared" si="3"/>
        <v>2.8437500000000001E-2</v>
      </c>
      <c r="AL20" s="59"/>
      <c r="AM20"/>
      <c r="AN20" s="3"/>
      <c r="AO20" s="9">
        <f>$AN$2-AN20</f>
        <v>80.7</v>
      </c>
      <c r="AQ20" s="9">
        <f>$AP$2-AP20</f>
        <v>92</v>
      </c>
      <c r="AS20" s="9">
        <f>$AR$2-AR20</f>
        <v>95</v>
      </c>
      <c r="AU20" s="9">
        <f>$AT$2-AT20</f>
        <v>98</v>
      </c>
      <c r="AV20"/>
      <c r="AW20" s="9">
        <f>$AV$2-AV20</f>
        <v>58</v>
      </c>
      <c r="AY20" s="9">
        <f>$AX$2-AX20</f>
        <v>58</v>
      </c>
      <c r="AZ20"/>
      <c r="BA20" s="9">
        <f>$AZ$2-AZ20</f>
        <v>41</v>
      </c>
      <c r="BB20"/>
      <c r="BC20" s="9">
        <f>$BB$2-BB20</f>
        <v>41</v>
      </c>
      <c r="BD20"/>
      <c r="BE20" s="9">
        <f>$BD$2-BD20</f>
        <v>30</v>
      </c>
      <c r="BG20" s="37">
        <f>$BF$2-BF20</f>
        <v>30</v>
      </c>
    </row>
    <row r="21" spans="1:59" x14ac:dyDescent="0.25">
      <c r="B21" s="1" t="s">
        <v>24</v>
      </c>
      <c r="C21" s="81">
        <v>42668</v>
      </c>
      <c r="D21" s="81"/>
      <c r="E21" s="3">
        <v>10</v>
      </c>
      <c r="F21" s="41">
        <v>10.18</v>
      </c>
      <c r="G21" s="2">
        <v>0.20347222222222219</v>
      </c>
      <c r="H21" s="14">
        <v>0.20138888888888887</v>
      </c>
      <c r="I21" s="159">
        <v>143</v>
      </c>
      <c r="J21" s="147">
        <v>136</v>
      </c>
      <c r="K21" s="258">
        <v>3.4131944444444444E-2</v>
      </c>
      <c r="N21" s="2"/>
      <c r="O21" s="14"/>
      <c r="P21" s="159"/>
      <c r="Q21" s="147"/>
      <c r="R21" s="26"/>
      <c r="S21" s="223"/>
      <c r="T21" s="26"/>
      <c r="W21" s="2"/>
      <c r="X21" s="14"/>
      <c r="Y21" s="159"/>
      <c r="Z21" s="147"/>
      <c r="AA21" s="233"/>
      <c r="AE21" s="159"/>
      <c r="AF21" s="147"/>
      <c r="AG21" s="263"/>
      <c r="AH21" s="13">
        <f t="shared" si="0"/>
        <v>10.18</v>
      </c>
      <c r="AI21" s="87">
        <f t="shared" si="1"/>
        <v>10</v>
      </c>
      <c r="AJ21" s="27">
        <f t="shared" si="2"/>
        <v>0.17999999999999972</v>
      </c>
      <c r="AK21" s="63">
        <f t="shared" si="3"/>
        <v>3.4131944444444444E-2</v>
      </c>
      <c r="AL21" s="59"/>
      <c r="AM21"/>
      <c r="AN21" s="3"/>
      <c r="AV21"/>
      <c r="AZ21"/>
      <c r="BB21"/>
      <c r="BD21"/>
      <c r="BG21" s="37"/>
    </row>
    <row r="22" spans="1:59" x14ac:dyDescent="0.25">
      <c r="A22" s="6">
        <v>10</v>
      </c>
      <c r="B22" s="1" t="s">
        <v>15</v>
      </c>
      <c r="C22" s="81">
        <v>42669</v>
      </c>
      <c r="D22" s="81"/>
      <c r="E22" s="3">
        <v>8</v>
      </c>
      <c r="F22" s="41">
        <v>8.51</v>
      </c>
      <c r="G22" s="2"/>
      <c r="H22" s="14"/>
      <c r="I22" s="159">
        <v>129</v>
      </c>
      <c r="J22" s="262">
        <v>138</v>
      </c>
      <c r="K22" s="258">
        <v>2.90162037037037E-2</v>
      </c>
      <c r="N22" s="2"/>
      <c r="O22" s="14"/>
      <c r="P22" s="159"/>
      <c r="Q22" s="147"/>
      <c r="R22" s="26"/>
      <c r="S22" s="223"/>
      <c r="T22" s="26"/>
      <c r="W22" s="2"/>
      <c r="X22" s="14"/>
      <c r="Y22" s="159"/>
      <c r="Z22" s="147"/>
      <c r="AA22" s="233"/>
      <c r="AE22" s="159"/>
      <c r="AF22" s="147"/>
      <c r="AG22" s="263"/>
      <c r="AH22" s="13">
        <f t="shared" si="0"/>
        <v>8.51</v>
      </c>
      <c r="AI22" s="87">
        <f t="shared" si="1"/>
        <v>8</v>
      </c>
      <c r="AJ22" s="27">
        <f t="shared" si="2"/>
        <v>0.50999999999999979</v>
      </c>
      <c r="AK22" s="63">
        <f t="shared" si="3"/>
        <v>2.90162037037037E-2</v>
      </c>
      <c r="AL22" s="59"/>
      <c r="AM22"/>
      <c r="AN22" s="3"/>
      <c r="AV22"/>
      <c r="AZ22"/>
      <c r="BB22"/>
      <c r="BD22"/>
      <c r="BG22" s="37"/>
    </row>
    <row r="23" spans="1:59" x14ac:dyDescent="0.25">
      <c r="A23" s="6"/>
      <c r="B23" s="1" t="s">
        <v>26</v>
      </c>
      <c r="C23" s="81">
        <v>42670</v>
      </c>
      <c r="D23" s="81"/>
      <c r="E23" s="3">
        <v>10</v>
      </c>
      <c r="F23" s="41">
        <v>10.11</v>
      </c>
      <c r="G23" s="2">
        <v>0.20347222222222219</v>
      </c>
      <c r="H23" s="14">
        <v>0.19791666666666666</v>
      </c>
      <c r="I23" s="159">
        <v>143</v>
      </c>
      <c r="J23" s="262">
        <v>143</v>
      </c>
      <c r="K23" s="258">
        <v>3.3344907407407406E-2</v>
      </c>
      <c r="N23" s="2"/>
      <c r="O23" s="14"/>
      <c r="P23" s="159"/>
      <c r="Q23" s="147"/>
      <c r="R23" s="26"/>
      <c r="S23" s="223"/>
      <c r="T23" s="26"/>
      <c r="W23" s="2"/>
      <c r="X23" s="14"/>
      <c r="Y23" s="159"/>
      <c r="Z23" s="147"/>
      <c r="AA23" s="233"/>
      <c r="AE23" s="159"/>
      <c r="AF23" s="147"/>
      <c r="AG23" s="263"/>
      <c r="AH23" s="13">
        <f t="shared" si="0"/>
        <v>10.11</v>
      </c>
      <c r="AI23" s="87">
        <f t="shared" si="1"/>
        <v>10</v>
      </c>
      <c r="AJ23" s="27">
        <f t="shared" si="2"/>
        <v>0.10999999999999943</v>
      </c>
      <c r="AK23" s="63">
        <f t="shared" si="3"/>
        <v>3.3344907407407406E-2</v>
      </c>
      <c r="AL23" s="59"/>
      <c r="AM23"/>
      <c r="AN23" s="3"/>
      <c r="AV23"/>
      <c r="AZ23"/>
      <c r="BB23"/>
      <c r="BD23"/>
      <c r="BG23" s="37"/>
    </row>
    <row r="24" spans="1:59" x14ac:dyDescent="0.25">
      <c r="A24" s="6"/>
      <c r="B24" s="1" t="s">
        <v>29</v>
      </c>
      <c r="C24" s="81">
        <v>42671</v>
      </c>
      <c r="D24" s="81"/>
      <c r="E24" s="3">
        <v>10</v>
      </c>
      <c r="F24" s="41">
        <v>10.09</v>
      </c>
      <c r="G24" s="2">
        <v>0.20347222222222219</v>
      </c>
      <c r="H24" s="14">
        <v>0.19722222222222222</v>
      </c>
      <c r="I24" s="159">
        <v>143</v>
      </c>
      <c r="J24" s="262">
        <v>141</v>
      </c>
      <c r="K24" s="258">
        <v>3.3113425925925928E-2</v>
      </c>
      <c r="N24" s="2"/>
      <c r="O24" s="14"/>
      <c r="P24" s="159"/>
      <c r="Q24" s="147"/>
      <c r="R24" s="26"/>
      <c r="S24" s="223"/>
      <c r="T24" s="26"/>
      <c r="W24" s="2"/>
      <c r="X24" s="14"/>
      <c r="Y24" s="159"/>
      <c r="Z24" s="147"/>
      <c r="AA24" s="233"/>
      <c r="AE24" s="159"/>
      <c r="AF24" s="147"/>
      <c r="AG24" s="263"/>
      <c r="AH24" s="13">
        <f t="shared" si="0"/>
        <v>10.09</v>
      </c>
      <c r="AI24" s="87">
        <f t="shared" si="1"/>
        <v>10</v>
      </c>
      <c r="AJ24" s="27">
        <f t="shared" si="2"/>
        <v>8.9999999999999858E-2</v>
      </c>
      <c r="AK24" s="63">
        <f t="shared" si="3"/>
        <v>3.3113425925925928E-2</v>
      </c>
      <c r="AL24" s="59"/>
      <c r="AM24"/>
      <c r="AN24" s="3"/>
      <c r="AV24"/>
      <c r="AZ24"/>
      <c r="BB24"/>
      <c r="BD24"/>
      <c r="BG24" s="37"/>
    </row>
    <row r="25" spans="1:59" x14ac:dyDescent="0.25">
      <c r="A25" s="56"/>
      <c r="B25" s="17" t="s">
        <v>27</v>
      </c>
      <c r="C25" s="85">
        <v>42673</v>
      </c>
      <c r="D25" s="85" t="s">
        <v>351</v>
      </c>
      <c r="E25" s="19">
        <v>22</v>
      </c>
      <c r="F25" s="42">
        <v>11.92</v>
      </c>
      <c r="G25" s="21">
        <v>0.20347222222222219</v>
      </c>
      <c r="H25" s="22">
        <v>0.16388888888888889</v>
      </c>
      <c r="I25" s="160">
        <v>157</v>
      </c>
      <c r="J25" s="156">
        <v>165</v>
      </c>
      <c r="K25" s="259">
        <v>3.2534722222222222E-2</v>
      </c>
      <c r="L25" s="18"/>
      <c r="M25" s="20"/>
      <c r="N25" s="18"/>
      <c r="O25" s="20"/>
      <c r="P25" s="160"/>
      <c r="Q25" s="156"/>
      <c r="R25" s="18"/>
      <c r="S25" s="224"/>
      <c r="T25" s="84"/>
      <c r="U25" s="31"/>
      <c r="V25" s="42"/>
      <c r="W25" s="18"/>
      <c r="X25" s="20"/>
      <c r="Y25" s="160"/>
      <c r="Z25" s="156"/>
      <c r="AA25" s="265"/>
      <c r="AB25" s="18"/>
      <c r="AC25" s="18"/>
      <c r="AD25" s="20"/>
      <c r="AE25" s="160"/>
      <c r="AF25" s="156"/>
      <c r="AG25" s="265"/>
      <c r="AH25" s="20">
        <f t="shared" si="0"/>
        <v>11.92</v>
      </c>
      <c r="AI25" s="88">
        <f t="shared" si="1"/>
        <v>22</v>
      </c>
      <c r="AJ25" s="34">
        <f t="shared" si="2"/>
        <v>-10.08</v>
      </c>
      <c r="AK25" s="58">
        <f t="shared" si="3"/>
        <v>3.2534722222222222E-2</v>
      </c>
      <c r="AL25" s="57">
        <f>SUM(AH20:AH25)</f>
        <v>58.980000000000004</v>
      </c>
      <c r="AM25" s="21">
        <f>SUM(AK20:AK25)</f>
        <v>0.19057870370370369</v>
      </c>
      <c r="AN25" s="19"/>
      <c r="AO25" s="36"/>
      <c r="AP25" s="18"/>
      <c r="AQ25" s="36"/>
      <c r="AR25" s="18"/>
      <c r="AS25" s="36"/>
      <c r="AT25" s="18"/>
      <c r="AU25" s="36"/>
      <c r="AV25" s="18"/>
      <c r="AW25" s="36"/>
      <c r="AX25" s="18"/>
      <c r="AY25" s="36"/>
      <c r="AZ25" s="18"/>
      <c r="BA25" s="36"/>
      <c r="BB25" s="18"/>
      <c r="BC25" s="36"/>
      <c r="BD25" s="18"/>
      <c r="BE25" s="36"/>
      <c r="BF25" s="18"/>
      <c r="BG25" s="38"/>
    </row>
    <row r="26" spans="1:59" x14ac:dyDescent="0.25">
      <c r="B26" s="1" t="s">
        <v>0</v>
      </c>
      <c r="C26" s="81">
        <v>42674</v>
      </c>
      <c r="D26" s="81"/>
      <c r="E26" s="3">
        <v>10</v>
      </c>
      <c r="F26" s="41">
        <v>10.24</v>
      </c>
      <c r="G26" s="2"/>
      <c r="H26" s="14">
        <v>0.20625000000000002</v>
      </c>
      <c r="I26" s="159">
        <v>129</v>
      </c>
      <c r="J26" s="147">
        <v>131</v>
      </c>
      <c r="K26" s="258">
        <v>3.5219907407407408E-2</v>
      </c>
      <c r="N26" s="2"/>
      <c r="O26" s="14"/>
      <c r="P26" s="159"/>
      <c r="Q26" s="147"/>
      <c r="R26" s="26"/>
      <c r="S26" s="223"/>
      <c r="T26" s="26"/>
      <c r="W26" s="2"/>
      <c r="X26" s="14"/>
      <c r="Y26" s="159"/>
      <c r="Z26" s="147"/>
      <c r="AA26" s="233"/>
      <c r="AE26" s="159"/>
      <c r="AF26" s="147"/>
      <c r="AG26" s="263"/>
      <c r="AH26" s="13">
        <f t="shared" si="0"/>
        <v>10.24</v>
      </c>
      <c r="AI26" s="87">
        <f t="shared" si="1"/>
        <v>10</v>
      </c>
      <c r="AJ26" s="27">
        <f t="shared" si="2"/>
        <v>0.24000000000000021</v>
      </c>
      <c r="AK26" s="63">
        <f t="shared" si="3"/>
        <v>3.5219907407407408E-2</v>
      </c>
      <c r="AL26" s="59"/>
      <c r="AM26"/>
      <c r="AN26" s="3"/>
      <c r="AO26" s="9">
        <f>$AN$2-AN26</f>
        <v>80.7</v>
      </c>
      <c r="AQ26" s="9">
        <f>$AP$2-AP26</f>
        <v>92</v>
      </c>
      <c r="AS26" s="9">
        <f>$AR$2-AR26</f>
        <v>95</v>
      </c>
      <c r="AU26" s="9">
        <f>$AT$2-AT26</f>
        <v>98</v>
      </c>
      <c r="AV26"/>
      <c r="AW26" s="9">
        <f>$AV$2-AV26</f>
        <v>58</v>
      </c>
      <c r="AY26" s="9">
        <f>$AX$2-AX26</f>
        <v>58</v>
      </c>
      <c r="AZ26"/>
      <c r="BA26" s="9">
        <f>$AZ$2-AZ26</f>
        <v>41</v>
      </c>
      <c r="BB26"/>
      <c r="BC26" s="9">
        <f>$BB$2-BB26</f>
        <v>41</v>
      </c>
      <c r="BD26"/>
      <c r="BE26" s="9">
        <f>$BD$2-BD26</f>
        <v>30</v>
      </c>
      <c r="BG26" s="37">
        <f>$BF$2-BF26</f>
        <v>30</v>
      </c>
    </row>
    <row r="27" spans="1:59" x14ac:dyDescent="0.25">
      <c r="B27" s="1" t="s">
        <v>24</v>
      </c>
      <c r="C27" s="81">
        <v>42675</v>
      </c>
      <c r="D27" s="81"/>
      <c r="E27" s="3"/>
      <c r="G27" s="2"/>
      <c r="H27" s="14"/>
      <c r="I27" s="159"/>
      <c r="J27" s="147"/>
      <c r="K27" s="258"/>
      <c r="L27">
        <v>6</v>
      </c>
      <c r="M27" s="13">
        <v>7.3</v>
      </c>
      <c r="N27" s="2"/>
      <c r="O27" s="14">
        <v>0.20138888888888887</v>
      </c>
      <c r="P27" s="159">
        <v>143</v>
      </c>
      <c r="Q27" s="147">
        <v>143</v>
      </c>
      <c r="R27" s="26">
        <v>2.4479166666666666E-2</v>
      </c>
      <c r="S27" s="223">
        <v>2.5</v>
      </c>
      <c r="T27" s="26">
        <v>1.1805555555555555E-2</v>
      </c>
      <c r="U27" s="30" t="s">
        <v>28</v>
      </c>
      <c r="V27" s="41">
        <v>6</v>
      </c>
      <c r="W27" s="2">
        <v>0.14930555555555555</v>
      </c>
      <c r="X27" s="14">
        <v>0.14791666666666667</v>
      </c>
      <c r="Y27" s="159">
        <v>185</v>
      </c>
      <c r="Z27" s="147">
        <v>157</v>
      </c>
      <c r="AA27" s="233">
        <v>1.4791666666666668E-2</v>
      </c>
      <c r="AE27" s="159"/>
      <c r="AF27" s="147"/>
      <c r="AG27" s="263"/>
      <c r="AH27" s="13">
        <f t="shared" si="0"/>
        <v>15.8</v>
      </c>
      <c r="AI27" s="87">
        <f t="shared" si="1"/>
        <v>14.5</v>
      </c>
      <c r="AJ27" s="27">
        <f t="shared" si="2"/>
        <v>1.3000000000000007</v>
      </c>
      <c r="AK27" s="63">
        <f t="shared" si="3"/>
        <v>5.1076388888888893E-2</v>
      </c>
      <c r="AL27" s="59"/>
      <c r="AM27"/>
      <c r="AN27" s="3"/>
      <c r="AV27"/>
      <c r="AZ27"/>
      <c r="BB27"/>
      <c r="BD27"/>
      <c r="BG27" s="37"/>
    </row>
    <row r="28" spans="1:59" x14ac:dyDescent="0.25">
      <c r="A28" s="6">
        <v>11</v>
      </c>
      <c r="B28" s="1" t="s">
        <v>15</v>
      </c>
      <c r="C28" s="81">
        <v>42676</v>
      </c>
      <c r="D28" s="81"/>
      <c r="E28" s="3">
        <v>10</v>
      </c>
      <c r="F28" s="41">
        <v>14.76</v>
      </c>
      <c r="G28" s="2"/>
      <c r="H28" s="14">
        <v>0.20138888888888887</v>
      </c>
      <c r="I28" s="159">
        <v>129</v>
      </c>
      <c r="J28" s="147">
        <v>141</v>
      </c>
      <c r="K28" s="258">
        <v>4.9548611111111113E-2</v>
      </c>
      <c r="N28" s="2"/>
      <c r="O28" s="14"/>
      <c r="P28" s="159"/>
      <c r="Q28" s="147"/>
      <c r="R28" s="26"/>
      <c r="S28" s="223"/>
      <c r="T28" s="26"/>
      <c r="W28" s="2"/>
      <c r="X28" s="14"/>
      <c r="Y28" s="159"/>
      <c r="Z28" s="147"/>
      <c r="AA28" s="233"/>
      <c r="AE28" s="159"/>
      <c r="AF28" s="147"/>
      <c r="AG28" s="263"/>
      <c r="AH28" s="13">
        <f t="shared" si="0"/>
        <v>14.76</v>
      </c>
      <c r="AI28" s="87">
        <f t="shared" si="1"/>
        <v>10</v>
      </c>
      <c r="AJ28" s="27">
        <f t="shared" si="2"/>
        <v>4.76</v>
      </c>
      <c r="AK28" s="63">
        <f t="shared" si="3"/>
        <v>4.9548611111111113E-2</v>
      </c>
      <c r="AL28" s="59"/>
      <c r="AM28"/>
      <c r="AN28" s="3"/>
      <c r="AV28"/>
      <c r="AZ28"/>
      <c r="BB28"/>
      <c r="BD28"/>
      <c r="BG28" s="37"/>
    </row>
    <row r="29" spans="1:59" x14ac:dyDescent="0.25">
      <c r="A29" s="6"/>
      <c r="B29" s="1" t="s">
        <v>26</v>
      </c>
      <c r="C29" s="81">
        <v>42677</v>
      </c>
      <c r="D29" s="81"/>
      <c r="E29" s="3">
        <v>12</v>
      </c>
      <c r="F29" s="41">
        <v>12.06</v>
      </c>
      <c r="G29" s="2">
        <v>0.20347222222222219</v>
      </c>
      <c r="H29" s="14">
        <v>0.20208333333333331</v>
      </c>
      <c r="I29" s="159">
        <v>143</v>
      </c>
      <c r="J29" s="147">
        <v>141</v>
      </c>
      <c r="K29" s="258">
        <v>4.0613425925925928E-2</v>
      </c>
      <c r="N29" s="2"/>
      <c r="O29" s="14"/>
      <c r="P29" s="159"/>
      <c r="Q29" s="147"/>
      <c r="R29" s="26"/>
      <c r="S29" s="223"/>
      <c r="T29" s="26"/>
      <c r="W29" s="2"/>
      <c r="X29" s="14"/>
      <c r="Y29" s="159"/>
      <c r="Z29" s="147"/>
      <c r="AA29" s="233"/>
      <c r="AE29" s="159"/>
      <c r="AF29" s="147"/>
      <c r="AG29" s="263"/>
      <c r="AH29" s="13">
        <f t="shared" si="0"/>
        <v>12.06</v>
      </c>
      <c r="AI29" s="87">
        <f t="shared" si="1"/>
        <v>12</v>
      </c>
      <c r="AJ29" s="27">
        <f t="shared" si="2"/>
        <v>6.0000000000000497E-2</v>
      </c>
      <c r="AK29" s="63">
        <f t="shared" si="3"/>
        <v>4.0613425925925928E-2</v>
      </c>
      <c r="AL29" s="59"/>
      <c r="AM29"/>
      <c r="AN29" s="3"/>
      <c r="AV29"/>
      <c r="AZ29"/>
      <c r="BB29"/>
      <c r="BD29"/>
      <c r="BG29" s="37"/>
    </row>
    <row r="30" spans="1:59" x14ac:dyDescent="0.25">
      <c r="A30" s="6"/>
      <c r="B30" s="1" t="s">
        <v>29</v>
      </c>
      <c r="C30" s="81">
        <v>42678</v>
      </c>
      <c r="D30" s="81"/>
      <c r="E30" s="3">
        <v>16</v>
      </c>
      <c r="F30" s="41">
        <v>18.260000000000002</v>
      </c>
      <c r="G30" s="2">
        <v>0.20347222222222219</v>
      </c>
      <c r="H30" s="14">
        <v>0.19722222222222222</v>
      </c>
      <c r="I30" s="159">
        <v>143</v>
      </c>
      <c r="J30" s="147">
        <v>143</v>
      </c>
      <c r="K30" s="258">
        <v>6.0023148148148152E-2</v>
      </c>
      <c r="N30" s="2"/>
      <c r="O30" s="14"/>
      <c r="P30" s="159"/>
      <c r="Q30" s="147"/>
      <c r="R30" s="26"/>
      <c r="S30" s="223"/>
      <c r="T30" s="26"/>
      <c r="W30" s="2"/>
      <c r="X30" s="14"/>
      <c r="Y30" s="159"/>
      <c r="Z30" s="147"/>
      <c r="AA30" s="233"/>
      <c r="AE30" s="159"/>
      <c r="AF30" s="147"/>
      <c r="AG30" s="263"/>
      <c r="AH30" s="13">
        <f t="shared" si="0"/>
        <v>18.260000000000002</v>
      </c>
      <c r="AI30" s="87">
        <f t="shared" si="1"/>
        <v>16</v>
      </c>
      <c r="AJ30" s="27">
        <f t="shared" si="2"/>
        <v>2.2600000000000016</v>
      </c>
      <c r="AK30" s="63">
        <f t="shared" si="3"/>
        <v>6.0023148148148152E-2</v>
      </c>
      <c r="AL30" s="59"/>
      <c r="AM30"/>
      <c r="AN30" s="3"/>
      <c r="AV30"/>
      <c r="AZ30"/>
      <c r="BB30"/>
      <c r="BD30"/>
      <c r="BG30" s="37"/>
    </row>
    <row r="31" spans="1:59" x14ac:dyDescent="0.25">
      <c r="A31" s="56"/>
      <c r="B31" s="17" t="s">
        <v>27</v>
      </c>
      <c r="C31" s="85">
        <v>42680</v>
      </c>
      <c r="D31" s="85"/>
      <c r="E31" s="19">
        <v>26</v>
      </c>
      <c r="F31" s="42">
        <v>29.02</v>
      </c>
      <c r="G31" s="21">
        <v>0.20347222222222219</v>
      </c>
      <c r="H31" s="22">
        <v>0.20138888888888887</v>
      </c>
      <c r="I31" s="160">
        <v>157</v>
      </c>
      <c r="J31" s="156">
        <v>143</v>
      </c>
      <c r="K31" s="259">
        <v>9.7280092592592585E-2</v>
      </c>
      <c r="L31" s="18"/>
      <c r="M31" s="20"/>
      <c r="N31" s="18"/>
      <c r="O31" s="20"/>
      <c r="P31" s="160"/>
      <c r="Q31" s="156"/>
      <c r="R31" s="18"/>
      <c r="S31" s="224"/>
      <c r="T31" s="84"/>
      <c r="U31" s="31"/>
      <c r="V31" s="42"/>
      <c r="W31" s="18"/>
      <c r="X31" s="20"/>
      <c r="Y31" s="160"/>
      <c r="Z31" s="156"/>
      <c r="AA31" s="265"/>
      <c r="AB31" s="18"/>
      <c r="AC31" s="18"/>
      <c r="AD31" s="20"/>
      <c r="AE31" s="160"/>
      <c r="AF31" s="156"/>
      <c r="AG31" s="265"/>
      <c r="AH31" s="20">
        <f t="shared" si="0"/>
        <v>29.02</v>
      </c>
      <c r="AI31" s="88">
        <f t="shared" si="1"/>
        <v>26</v>
      </c>
      <c r="AJ31" s="34">
        <f t="shared" si="2"/>
        <v>3.0199999999999996</v>
      </c>
      <c r="AK31" s="58">
        <f t="shared" si="3"/>
        <v>9.7280092592592585E-2</v>
      </c>
      <c r="AL31" s="57">
        <f>SUM(AH26:AH31)</f>
        <v>100.14</v>
      </c>
      <c r="AM31" s="21">
        <f>SUM(AK26:AK31)</f>
        <v>0.33376157407407409</v>
      </c>
      <c r="AN31" s="19"/>
      <c r="AO31" s="36"/>
      <c r="AP31" s="18"/>
      <c r="AQ31" s="36"/>
      <c r="AR31" s="18"/>
      <c r="AS31" s="36"/>
      <c r="AT31" s="18"/>
      <c r="AU31" s="36"/>
      <c r="AV31" s="18"/>
      <c r="AW31" s="36"/>
      <c r="AX31" s="18"/>
      <c r="AY31" s="36"/>
      <c r="AZ31" s="18"/>
      <c r="BA31" s="36"/>
      <c r="BB31" s="18"/>
      <c r="BC31" s="36"/>
      <c r="BD31" s="18"/>
      <c r="BE31" s="36"/>
      <c r="BF31" s="18"/>
      <c r="BG31" s="38"/>
    </row>
    <row r="32" spans="1:59" x14ac:dyDescent="0.25">
      <c r="A32" s="6"/>
      <c r="B32" s="1" t="s">
        <v>0</v>
      </c>
      <c r="C32" s="81">
        <v>42681</v>
      </c>
      <c r="D32" s="81"/>
      <c r="E32" s="3">
        <v>10</v>
      </c>
      <c r="F32" s="41">
        <v>10.07</v>
      </c>
      <c r="G32" s="2"/>
      <c r="H32" s="14">
        <v>0.21041666666666667</v>
      </c>
      <c r="I32" s="159">
        <v>129</v>
      </c>
      <c r="J32" s="147">
        <v>132</v>
      </c>
      <c r="K32" s="258">
        <v>3.5300925925925923E-2</v>
      </c>
      <c r="N32" s="2"/>
      <c r="O32" s="14"/>
      <c r="P32" s="159"/>
      <c r="Q32" s="147"/>
      <c r="R32" s="26"/>
      <c r="S32" s="223"/>
      <c r="T32" s="26"/>
      <c r="W32" s="2"/>
      <c r="X32" s="14"/>
      <c r="Y32" s="159"/>
      <c r="Z32" s="147"/>
      <c r="AA32" s="233"/>
      <c r="AE32" s="159"/>
      <c r="AF32" s="147"/>
      <c r="AG32" s="263"/>
      <c r="AH32" s="13">
        <f t="shared" si="0"/>
        <v>10.07</v>
      </c>
      <c r="AI32" s="87">
        <f t="shared" si="1"/>
        <v>10</v>
      </c>
      <c r="AJ32" s="27">
        <f t="shared" si="2"/>
        <v>7.0000000000000284E-2</v>
      </c>
      <c r="AK32" s="63">
        <f t="shared" si="3"/>
        <v>3.5300925925925923E-2</v>
      </c>
      <c r="AL32" s="59"/>
      <c r="AM32"/>
      <c r="AN32" s="3"/>
      <c r="AO32" s="9">
        <f>$AN$2-AN32</f>
        <v>80.7</v>
      </c>
      <c r="AQ32" s="9">
        <f>$AP$2-AP32</f>
        <v>92</v>
      </c>
      <c r="AS32" s="9">
        <f>$AR$2-AR32</f>
        <v>95</v>
      </c>
      <c r="AU32" s="9">
        <f>$AT$2-AT32</f>
        <v>98</v>
      </c>
      <c r="AV32"/>
      <c r="AW32" s="9">
        <f>$AV$2-AV32</f>
        <v>58</v>
      </c>
      <c r="AY32" s="9">
        <f>$AX$2-AX32</f>
        <v>58</v>
      </c>
      <c r="AZ32"/>
      <c r="BA32" s="9">
        <f>$AZ$2-AZ32</f>
        <v>41</v>
      </c>
      <c r="BB32"/>
      <c r="BC32" s="9">
        <f>$BB$2-BB32</f>
        <v>41</v>
      </c>
      <c r="BD32"/>
      <c r="BE32" s="9">
        <f>$BD$2-BD32</f>
        <v>30</v>
      </c>
      <c r="BG32" s="37">
        <f>$BF$2-BF32</f>
        <v>30</v>
      </c>
    </row>
    <row r="33" spans="1:59" x14ac:dyDescent="0.25">
      <c r="A33" s="6"/>
      <c r="B33" s="1" t="s">
        <v>24</v>
      </c>
      <c r="C33" s="81">
        <v>42682</v>
      </c>
      <c r="D33" s="81"/>
      <c r="E33" s="3"/>
      <c r="G33" s="2"/>
      <c r="H33" s="14"/>
      <c r="I33" s="159"/>
      <c r="J33" s="147"/>
      <c r="K33" s="258"/>
      <c r="L33">
        <v>6</v>
      </c>
      <c r="M33" s="13">
        <v>6.19</v>
      </c>
      <c r="N33" s="2"/>
      <c r="O33" s="14">
        <v>0.20416666666666669</v>
      </c>
      <c r="P33" s="159">
        <v>143</v>
      </c>
      <c r="Q33" s="147">
        <v>140</v>
      </c>
      <c r="R33" s="26">
        <v>2.1064814814814814E-2</v>
      </c>
      <c r="S33" s="223">
        <v>1.66</v>
      </c>
      <c r="T33" s="26">
        <v>7.4074074074074068E-3</v>
      </c>
      <c r="U33" s="30" t="s">
        <v>44</v>
      </c>
      <c r="V33" s="41">
        <v>4</v>
      </c>
      <c r="W33" s="2">
        <v>0.14930555555555555</v>
      </c>
      <c r="X33" s="14">
        <v>0.14791666666666667</v>
      </c>
      <c r="Y33" s="159">
        <v>185</v>
      </c>
      <c r="Z33" s="147">
        <v>155</v>
      </c>
      <c r="AA33" s="233">
        <v>9.6527777777777775E-3</v>
      </c>
      <c r="AD33" s="14"/>
      <c r="AE33" s="159"/>
      <c r="AF33" s="147"/>
      <c r="AG33" s="264"/>
      <c r="AH33" s="13">
        <f t="shared" si="0"/>
        <v>11.850000000000001</v>
      </c>
      <c r="AI33" s="87">
        <f t="shared" si="1"/>
        <v>11.66</v>
      </c>
      <c r="AJ33" s="27">
        <f t="shared" si="2"/>
        <v>0.19000000000000128</v>
      </c>
      <c r="AK33" s="63">
        <f t="shared" si="3"/>
        <v>3.8124999999999999E-2</v>
      </c>
      <c r="AL33" s="59"/>
      <c r="AM33"/>
      <c r="AN33" s="3"/>
      <c r="AV33"/>
      <c r="AZ33"/>
      <c r="BB33"/>
      <c r="BD33"/>
      <c r="BG33" s="37"/>
    </row>
    <row r="34" spans="1:59" x14ac:dyDescent="0.25">
      <c r="A34" s="6">
        <v>12</v>
      </c>
      <c r="B34" s="1" t="s">
        <v>15</v>
      </c>
      <c r="C34" s="81">
        <v>42683</v>
      </c>
      <c r="D34" s="81"/>
      <c r="E34" s="3">
        <v>10</v>
      </c>
      <c r="F34" s="41">
        <v>10.01</v>
      </c>
      <c r="G34" s="2"/>
      <c r="H34" s="14"/>
      <c r="I34" s="159">
        <v>129</v>
      </c>
      <c r="J34" s="147">
        <v>144</v>
      </c>
      <c r="K34" s="258">
        <v>3.4398148148148143E-2</v>
      </c>
      <c r="N34" s="2"/>
      <c r="O34" s="14"/>
      <c r="P34" s="159"/>
      <c r="Q34" s="147"/>
      <c r="R34" s="26"/>
      <c r="S34" s="223"/>
      <c r="T34" s="26"/>
      <c r="W34" s="2"/>
      <c r="X34" s="14"/>
      <c r="Y34" s="159"/>
      <c r="Z34" s="147"/>
      <c r="AA34" s="233"/>
      <c r="AE34" s="159"/>
      <c r="AF34" s="147"/>
      <c r="AG34" s="263"/>
      <c r="AH34" s="13">
        <f t="shared" si="0"/>
        <v>10.01</v>
      </c>
      <c r="AI34" s="87">
        <f t="shared" si="1"/>
        <v>10</v>
      </c>
      <c r="AJ34" s="27">
        <f t="shared" si="2"/>
        <v>9.9999999999997868E-3</v>
      </c>
      <c r="AK34" s="63">
        <f t="shared" si="3"/>
        <v>3.4398148148148143E-2</v>
      </c>
      <c r="AL34" s="59"/>
      <c r="AM34"/>
      <c r="AN34" s="3"/>
      <c r="AV34"/>
      <c r="AZ34"/>
      <c r="BB34"/>
      <c r="BD34"/>
      <c r="BG34" s="37"/>
    </row>
    <row r="35" spans="1:59" x14ac:dyDescent="0.25">
      <c r="A35" s="6"/>
      <c r="B35" s="1" t="s">
        <v>26</v>
      </c>
      <c r="C35" s="81">
        <v>42684</v>
      </c>
      <c r="D35" s="81"/>
      <c r="E35" s="3">
        <v>16</v>
      </c>
      <c r="F35" s="41">
        <v>16.27</v>
      </c>
      <c r="G35" s="2">
        <v>0.20347222222222219</v>
      </c>
      <c r="H35" s="14">
        <v>0.19999999999999998</v>
      </c>
      <c r="I35" s="159">
        <v>143</v>
      </c>
      <c r="J35" s="147">
        <v>145</v>
      </c>
      <c r="K35" s="258">
        <v>5.4189814814814809E-2</v>
      </c>
      <c r="N35" s="2"/>
      <c r="O35" s="14"/>
      <c r="P35" s="159"/>
      <c r="Q35" s="147"/>
      <c r="R35" s="26"/>
      <c r="S35" s="223"/>
      <c r="T35" s="26"/>
      <c r="W35" s="2"/>
      <c r="X35" s="14"/>
      <c r="Y35" s="159"/>
      <c r="Z35" s="147"/>
      <c r="AA35" s="233"/>
      <c r="AE35" s="159"/>
      <c r="AF35" s="147"/>
      <c r="AG35" s="263"/>
      <c r="AH35" s="13">
        <f t="shared" si="0"/>
        <v>16.27</v>
      </c>
      <c r="AI35" s="87">
        <f t="shared" si="1"/>
        <v>16</v>
      </c>
      <c r="AJ35" s="27">
        <f t="shared" si="2"/>
        <v>0.26999999999999957</v>
      </c>
      <c r="AK35" s="63">
        <f t="shared" si="3"/>
        <v>5.4189814814814809E-2</v>
      </c>
      <c r="AL35" s="59"/>
      <c r="AM35"/>
      <c r="AN35" s="3"/>
      <c r="AV35"/>
      <c r="AZ35"/>
      <c r="BB35"/>
      <c r="BD35"/>
      <c r="BG35" s="37"/>
    </row>
    <row r="36" spans="1:59" x14ac:dyDescent="0.25">
      <c r="A36" s="6"/>
      <c r="B36" s="1" t="s">
        <v>29</v>
      </c>
      <c r="C36" s="81">
        <v>42685</v>
      </c>
      <c r="D36" s="81"/>
      <c r="E36" s="3"/>
      <c r="G36" s="2"/>
      <c r="H36" s="14"/>
      <c r="I36" s="159"/>
      <c r="J36" s="147"/>
      <c r="K36" s="258"/>
      <c r="L36">
        <v>6</v>
      </c>
      <c r="M36" s="13">
        <v>7.2</v>
      </c>
      <c r="N36" s="2"/>
      <c r="O36" s="14">
        <v>0.20138888888888887</v>
      </c>
      <c r="P36" s="159">
        <v>143</v>
      </c>
      <c r="Q36" s="147">
        <v>140</v>
      </c>
      <c r="R36" s="26">
        <v>2.4097222222222225E-2</v>
      </c>
      <c r="S36" s="223"/>
      <c r="T36" s="26"/>
      <c r="W36" s="2"/>
      <c r="X36" s="14"/>
      <c r="Y36" s="159"/>
      <c r="Z36" s="147"/>
      <c r="AA36" s="233"/>
      <c r="AB36">
        <v>7</v>
      </c>
      <c r="AC36" s="2">
        <v>0.16250000000000001</v>
      </c>
      <c r="AD36" s="14">
        <v>0.16250000000000001</v>
      </c>
      <c r="AE36" s="159">
        <v>170</v>
      </c>
      <c r="AF36" s="147">
        <v>151</v>
      </c>
      <c r="AG36" s="233">
        <v>1.8981481481481481E-2</v>
      </c>
      <c r="AH36" s="13">
        <f t="shared" si="0"/>
        <v>14.2</v>
      </c>
      <c r="AI36" s="87">
        <f t="shared" si="1"/>
        <v>13</v>
      </c>
      <c r="AJ36" s="27">
        <f t="shared" si="2"/>
        <v>1.1999999999999993</v>
      </c>
      <c r="AK36" s="63">
        <f t="shared" si="3"/>
        <v>4.3078703703703702E-2</v>
      </c>
      <c r="AL36" s="59"/>
      <c r="AM36"/>
      <c r="AN36" s="3"/>
      <c r="AV36"/>
      <c r="AZ36"/>
      <c r="BB36"/>
      <c r="BD36"/>
      <c r="BG36" s="37"/>
    </row>
    <row r="37" spans="1:59" x14ac:dyDescent="0.25">
      <c r="A37" s="56"/>
      <c r="B37" s="17" t="s">
        <v>27</v>
      </c>
      <c r="C37" s="85">
        <v>42687</v>
      </c>
      <c r="D37" s="85"/>
      <c r="E37" s="19">
        <v>28</v>
      </c>
      <c r="F37" s="42">
        <v>29.02</v>
      </c>
      <c r="G37" s="21">
        <v>0.20347222222222219</v>
      </c>
      <c r="H37" s="22">
        <v>0.20972222222222223</v>
      </c>
      <c r="I37" s="160">
        <v>157</v>
      </c>
      <c r="J37" s="156">
        <v>139</v>
      </c>
      <c r="K37" s="259">
        <v>0.10146990740740741</v>
      </c>
      <c r="L37" s="18"/>
      <c r="M37" s="20"/>
      <c r="N37" s="18"/>
      <c r="O37" s="20"/>
      <c r="P37" s="160"/>
      <c r="Q37" s="156"/>
      <c r="R37" s="18"/>
      <c r="S37" s="224"/>
      <c r="T37" s="84"/>
      <c r="U37" s="31"/>
      <c r="V37" s="42"/>
      <c r="W37" s="18"/>
      <c r="X37" s="20"/>
      <c r="Y37" s="160"/>
      <c r="Z37" s="156"/>
      <c r="AA37" s="265"/>
      <c r="AB37" s="18"/>
      <c r="AC37" s="18"/>
      <c r="AD37" s="20"/>
      <c r="AE37" s="160"/>
      <c r="AF37" s="156"/>
      <c r="AG37" s="265"/>
      <c r="AH37" s="20">
        <f t="shared" si="0"/>
        <v>29.02</v>
      </c>
      <c r="AI37" s="88">
        <f t="shared" si="1"/>
        <v>28</v>
      </c>
      <c r="AJ37" s="34">
        <f t="shared" si="2"/>
        <v>1.0199999999999996</v>
      </c>
      <c r="AK37" s="58">
        <f t="shared" si="3"/>
        <v>0.10146990740740741</v>
      </c>
      <c r="AL37" s="57">
        <f>SUM(AH32:AH37)</f>
        <v>91.42</v>
      </c>
      <c r="AM37" s="21">
        <f>SUM(AK14:AK37)</f>
        <v>1.1337615740740741</v>
      </c>
      <c r="AN37" s="19"/>
      <c r="AO37" s="36"/>
      <c r="AP37" s="18"/>
      <c r="AQ37" s="36"/>
      <c r="AR37" s="18"/>
      <c r="AS37" s="36"/>
      <c r="AT37" s="18"/>
      <c r="AU37" s="36"/>
      <c r="AV37" s="18"/>
      <c r="AW37" s="36"/>
      <c r="AX37" s="18"/>
      <c r="AY37" s="36"/>
      <c r="AZ37" s="18"/>
      <c r="BA37" s="36"/>
      <c r="BB37" s="18"/>
      <c r="BC37" s="36"/>
      <c r="BD37" s="18"/>
      <c r="BE37" s="36"/>
      <c r="BF37" s="18"/>
      <c r="BG37" s="38"/>
    </row>
    <row r="38" spans="1:59" x14ac:dyDescent="0.25">
      <c r="A38" s="10"/>
      <c r="B38" s="1" t="s">
        <v>0</v>
      </c>
      <c r="C38" s="81">
        <v>42688</v>
      </c>
      <c r="D38" s="81"/>
      <c r="E38" s="3">
        <v>10</v>
      </c>
      <c r="F38" s="54">
        <v>10.58</v>
      </c>
      <c r="G38" s="2"/>
      <c r="H38" s="52">
        <v>0.20486111111111113</v>
      </c>
      <c r="I38" s="159">
        <v>129</v>
      </c>
      <c r="J38" s="157">
        <v>141</v>
      </c>
      <c r="K38" s="258">
        <v>3.6157407407407409E-2</v>
      </c>
      <c r="L38" s="11"/>
      <c r="M38" s="50"/>
      <c r="N38" s="51"/>
      <c r="O38" s="52"/>
      <c r="P38" s="161"/>
      <c r="Q38" s="157"/>
      <c r="R38" s="26"/>
      <c r="S38" s="223"/>
      <c r="T38" s="26"/>
      <c r="U38" s="53"/>
      <c r="V38" s="54"/>
      <c r="W38" s="51"/>
      <c r="X38" s="52"/>
      <c r="Y38" s="161"/>
      <c r="Z38" s="157"/>
      <c r="AA38" s="233"/>
      <c r="AB38" s="11"/>
      <c r="AC38" s="11"/>
      <c r="AD38" s="50"/>
      <c r="AE38" s="161"/>
      <c r="AF38" s="157"/>
      <c r="AG38" s="263"/>
      <c r="AH38" s="13">
        <f t="shared" si="0"/>
        <v>10.58</v>
      </c>
      <c r="AI38" s="87">
        <f t="shared" si="1"/>
        <v>10</v>
      </c>
      <c r="AJ38" s="27">
        <f t="shared" si="2"/>
        <v>0.58000000000000007</v>
      </c>
      <c r="AK38" s="63">
        <f t="shared" si="3"/>
        <v>3.6157407407407409E-2</v>
      </c>
      <c r="AL38" s="59"/>
      <c r="AM38" s="51"/>
      <c r="AN38" s="3"/>
      <c r="AO38" s="9">
        <f>$AN$2-AN38</f>
        <v>80.7</v>
      </c>
      <c r="AQ38" s="9">
        <f>$AP$2-AP38</f>
        <v>92</v>
      </c>
      <c r="AS38" s="9">
        <f>$AR$2-AR38</f>
        <v>95</v>
      </c>
      <c r="AU38" s="9">
        <f>$AT$2-AT38</f>
        <v>98</v>
      </c>
      <c r="AV38"/>
      <c r="AW38" s="9">
        <f>$AV$2-AV38</f>
        <v>58</v>
      </c>
      <c r="AY38" s="9">
        <f>$AX$2-AX38</f>
        <v>58</v>
      </c>
      <c r="AZ38"/>
      <c r="BA38" s="9">
        <f>$AZ$2-AZ38</f>
        <v>41</v>
      </c>
      <c r="BB38"/>
      <c r="BC38" s="9">
        <f>$BB$2-BB38</f>
        <v>41</v>
      </c>
      <c r="BD38"/>
      <c r="BE38" s="9">
        <f>$BD$2-BD38</f>
        <v>30</v>
      </c>
      <c r="BG38" s="37">
        <f>$BF$2-BF38</f>
        <v>30</v>
      </c>
    </row>
    <row r="39" spans="1:59" x14ac:dyDescent="0.25">
      <c r="A39" s="10"/>
      <c r="B39" s="1" t="s">
        <v>24</v>
      </c>
      <c r="C39" s="81">
        <v>42689</v>
      </c>
      <c r="D39" s="81"/>
      <c r="E39" s="3"/>
      <c r="F39" s="54"/>
      <c r="G39" s="2"/>
      <c r="H39" s="52"/>
      <c r="I39" s="161"/>
      <c r="J39" s="157"/>
      <c r="K39" s="258"/>
      <c r="L39" s="11">
        <v>6</v>
      </c>
      <c r="M39" s="50">
        <v>4.01</v>
      </c>
      <c r="N39" s="11"/>
      <c r="O39" s="52"/>
      <c r="P39" s="161">
        <v>143</v>
      </c>
      <c r="Q39" s="157"/>
      <c r="R39" s="26">
        <v>1.34375E-2</v>
      </c>
      <c r="S39" s="223">
        <v>4.3499999999999996</v>
      </c>
      <c r="T39" s="26">
        <v>2.0833333333333332E-2</v>
      </c>
      <c r="U39" s="297" t="s">
        <v>352</v>
      </c>
      <c r="V39" s="54">
        <v>3.36</v>
      </c>
      <c r="W39" s="2"/>
      <c r="X39" s="14"/>
      <c r="Y39" s="159">
        <v>185</v>
      </c>
      <c r="Z39" s="157"/>
      <c r="AA39" s="233">
        <v>8.3333333333333332E-3</v>
      </c>
      <c r="AB39" s="11"/>
      <c r="AC39" s="11"/>
      <c r="AD39" s="50"/>
      <c r="AE39" s="161"/>
      <c r="AF39" s="157"/>
      <c r="AG39" s="263"/>
      <c r="AH39" s="13">
        <f t="shared" si="0"/>
        <v>11.719999999999999</v>
      </c>
      <c r="AI39" s="87">
        <f t="shared" si="1"/>
        <v>13.709999999999999</v>
      </c>
      <c r="AJ39" s="27">
        <f t="shared" si="2"/>
        <v>-1.9900000000000002</v>
      </c>
      <c r="AK39" s="63">
        <f t="shared" si="3"/>
        <v>4.2604166666666665E-2</v>
      </c>
      <c r="AL39" s="59"/>
      <c r="AM39" s="51"/>
      <c r="AN39" s="3"/>
      <c r="AV39"/>
      <c r="AZ39"/>
      <c r="BB39"/>
      <c r="BD39"/>
      <c r="BG39" s="37"/>
    </row>
    <row r="40" spans="1:59" x14ac:dyDescent="0.25">
      <c r="A40" s="10">
        <v>13</v>
      </c>
      <c r="B40" s="1" t="s">
        <v>15</v>
      </c>
      <c r="C40" s="81">
        <v>42690</v>
      </c>
      <c r="D40" s="81"/>
      <c r="E40" s="3">
        <v>10</v>
      </c>
      <c r="F40" s="54">
        <v>10.24</v>
      </c>
      <c r="G40" s="51"/>
      <c r="H40" s="52">
        <v>0.21249999999999999</v>
      </c>
      <c r="I40" s="159">
        <v>129</v>
      </c>
      <c r="J40" s="157">
        <v>130</v>
      </c>
      <c r="K40" s="258">
        <v>3.6273148148148145E-2</v>
      </c>
      <c r="L40" s="11"/>
      <c r="M40" s="50"/>
      <c r="N40" s="2"/>
      <c r="O40" s="52"/>
      <c r="P40" s="161"/>
      <c r="Q40" s="157"/>
      <c r="R40" s="26"/>
      <c r="S40" s="223"/>
      <c r="T40" s="26"/>
      <c r="U40" s="53"/>
      <c r="V40" s="54"/>
      <c r="W40" s="11"/>
      <c r="X40" s="50"/>
      <c r="Y40" s="161"/>
      <c r="Z40" s="157"/>
      <c r="AA40" s="263"/>
      <c r="AB40" s="11"/>
      <c r="AC40" s="11"/>
      <c r="AD40" s="52"/>
      <c r="AE40" s="161"/>
      <c r="AF40" s="157"/>
      <c r="AG40" s="233"/>
      <c r="AH40" s="13">
        <f t="shared" si="0"/>
        <v>10.24</v>
      </c>
      <c r="AI40" s="87">
        <f t="shared" si="1"/>
        <v>10</v>
      </c>
      <c r="AJ40" s="27">
        <f t="shared" si="2"/>
        <v>0.24000000000000021</v>
      </c>
      <c r="AK40" s="63">
        <f t="shared" si="3"/>
        <v>3.6273148148148145E-2</v>
      </c>
      <c r="AL40" s="59"/>
      <c r="AM40" s="51"/>
      <c r="AN40" s="3"/>
      <c r="AO40" s="55"/>
      <c r="AP40" s="11"/>
      <c r="AQ40" s="55"/>
      <c r="AR40" s="11"/>
      <c r="AS40" s="55"/>
      <c r="AT40" s="11"/>
      <c r="AU40" s="55"/>
      <c r="AV40" s="11"/>
      <c r="AW40" s="55"/>
      <c r="AX40" s="11"/>
      <c r="AY40" s="55"/>
      <c r="AZ40" s="11"/>
      <c r="BA40" s="55"/>
      <c r="BB40" s="11"/>
      <c r="BC40" s="55"/>
      <c r="BD40" s="11"/>
      <c r="BE40" s="55"/>
      <c r="BF40" s="11"/>
      <c r="BG40" s="37"/>
    </row>
    <row r="41" spans="1:59" x14ac:dyDescent="0.25">
      <c r="A41" s="10"/>
      <c r="B41" s="1" t="s">
        <v>26</v>
      </c>
      <c r="C41" s="81">
        <v>42691</v>
      </c>
      <c r="D41" s="81"/>
      <c r="E41" s="3">
        <v>10</v>
      </c>
      <c r="F41" s="54">
        <v>10</v>
      </c>
      <c r="G41" s="2">
        <v>0.20347222222222219</v>
      </c>
      <c r="H41" s="52">
        <v>0.19930555555555554</v>
      </c>
      <c r="I41" s="161">
        <v>143</v>
      </c>
      <c r="J41" s="157">
        <v>139</v>
      </c>
      <c r="K41" s="258">
        <v>3.3206018518518517E-2</v>
      </c>
      <c r="L41" s="11"/>
      <c r="M41" s="50"/>
      <c r="N41" s="2"/>
      <c r="O41" s="52"/>
      <c r="P41" s="161"/>
      <c r="Q41" s="157"/>
      <c r="R41" s="26"/>
      <c r="S41" s="223"/>
      <c r="T41" s="26"/>
      <c r="U41" s="53"/>
      <c r="V41" s="54"/>
      <c r="W41" s="11"/>
      <c r="X41" s="50"/>
      <c r="Y41" s="161"/>
      <c r="Z41" s="157"/>
      <c r="AA41" s="263"/>
      <c r="AB41" s="11"/>
      <c r="AC41" s="11"/>
      <c r="AD41" s="52"/>
      <c r="AE41" s="161"/>
      <c r="AF41" s="157"/>
      <c r="AG41" s="233"/>
      <c r="AH41" s="13">
        <f t="shared" si="0"/>
        <v>10</v>
      </c>
      <c r="AI41" s="87">
        <f t="shared" si="1"/>
        <v>10</v>
      </c>
      <c r="AJ41" s="27">
        <f t="shared" si="2"/>
        <v>0</v>
      </c>
      <c r="AK41" s="63">
        <f t="shared" si="3"/>
        <v>3.3206018518518517E-2</v>
      </c>
      <c r="AL41" s="59"/>
      <c r="AM41" s="51"/>
      <c r="AN41" s="3"/>
      <c r="AO41" s="55"/>
      <c r="AP41" s="11"/>
      <c r="AQ41" s="55"/>
      <c r="AR41" s="11"/>
      <c r="AS41" s="55"/>
      <c r="AT41" s="11"/>
      <c r="AU41" s="55"/>
      <c r="AV41" s="11"/>
      <c r="AW41" s="55"/>
      <c r="AX41" s="11"/>
      <c r="AY41" s="55"/>
      <c r="AZ41" s="11"/>
      <c r="BA41" s="55"/>
      <c r="BB41" s="11"/>
      <c r="BC41" s="55"/>
      <c r="BD41" s="11"/>
      <c r="BE41" s="55"/>
      <c r="BF41" s="11"/>
      <c r="BG41" s="37"/>
    </row>
    <row r="42" spans="1:59" x14ac:dyDescent="0.25">
      <c r="A42" s="10"/>
      <c r="B42" s="1" t="s">
        <v>29</v>
      </c>
      <c r="C42" s="81">
        <v>42692</v>
      </c>
      <c r="D42" s="81"/>
      <c r="E42" s="3">
        <v>18</v>
      </c>
      <c r="F42" s="54">
        <v>18.010000000000002</v>
      </c>
      <c r="G42" s="2">
        <v>0.20347222222222219</v>
      </c>
      <c r="H42" s="52">
        <v>0.1986111111111111</v>
      </c>
      <c r="I42" s="161">
        <v>143</v>
      </c>
      <c r="J42" s="157">
        <v>135</v>
      </c>
      <c r="K42" s="258">
        <v>5.9710648148148145E-2</v>
      </c>
      <c r="L42" s="11"/>
      <c r="M42" s="50"/>
      <c r="N42" s="2"/>
      <c r="O42" s="52"/>
      <c r="P42" s="161"/>
      <c r="Q42" s="157"/>
      <c r="R42" s="26"/>
      <c r="S42" s="223"/>
      <c r="T42" s="26"/>
      <c r="U42" s="53"/>
      <c r="V42" s="54"/>
      <c r="W42" s="11"/>
      <c r="X42" s="50"/>
      <c r="Y42" s="161"/>
      <c r="Z42" s="157"/>
      <c r="AA42" s="263"/>
      <c r="AB42" s="11"/>
      <c r="AC42" s="11"/>
      <c r="AD42" s="52"/>
      <c r="AE42" s="161"/>
      <c r="AF42" s="157"/>
      <c r="AG42" s="233"/>
      <c r="AH42" s="13">
        <f t="shared" si="0"/>
        <v>18.010000000000002</v>
      </c>
      <c r="AI42" s="87">
        <f t="shared" si="1"/>
        <v>18</v>
      </c>
      <c r="AJ42" s="27">
        <f t="shared" si="2"/>
        <v>1.0000000000001563E-2</v>
      </c>
      <c r="AK42" s="63">
        <f t="shared" si="3"/>
        <v>5.9710648148148145E-2</v>
      </c>
      <c r="AL42" s="59"/>
      <c r="AM42" s="51"/>
      <c r="AN42" s="3"/>
      <c r="AO42" s="55"/>
      <c r="AP42" s="11"/>
      <c r="AQ42" s="55"/>
      <c r="AR42" s="11"/>
      <c r="AS42" s="55"/>
      <c r="AT42" s="11"/>
      <c r="AU42" s="55"/>
      <c r="AV42" s="11"/>
      <c r="AW42" s="55"/>
      <c r="AX42" s="11"/>
      <c r="AY42" s="55"/>
      <c r="AZ42" s="11"/>
      <c r="BA42" s="55"/>
      <c r="BB42" s="11"/>
      <c r="BC42" s="55"/>
      <c r="BD42" s="11"/>
      <c r="BE42" s="55"/>
      <c r="BF42" s="11"/>
      <c r="BG42" s="37"/>
    </row>
    <row r="43" spans="1:59" x14ac:dyDescent="0.25">
      <c r="A43" s="56"/>
      <c r="B43" s="17" t="s">
        <v>27</v>
      </c>
      <c r="C43" s="85">
        <v>42694</v>
      </c>
      <c r="D43" s="85"/>
      <c r="E43" s="19">
        <v>28</v>
      </c>
      <c r="F43" s="42">
        <v>28.61</v>
      </c>
      <c r="G43" s="21">
        <v>0.20347222222222219</v>
      </c>
      <c r="H43" s="22">
        <v>0.19791666666666666</v>
      </c>
      <c r="I43" s="160">
        <v>157</v>
      </c>
      <c r="J43" s="156">
        <v>142</v>
      </c>
      <c r="K43" s="259">
        <v>9.4270833333333345E-2</v>
      </c>
      <c r="L43" s="18"/>
      <c r="M43" s="20"/>
      <c r="N43" s="18"/>
      <c r="O43" s="20"/>
      <c r="P43" s="160"/>
      <c r="Q43" s="156"/>
      <c r="R43" s="18"/>
      <c r="S43" s="224"/>
      <c r="T43" s="84"/>
      <c r="U43" s="31"/>
      <c r="V43" s="42"/>
      <c r="W43" s="18"/>
      <c r="X43" s="20"/>
      <c r="Y43" s="160"/>
      <c r="Z43" s="156"/>
      <c r="AA43" s="265"/>
      <c r="AB43" s="18"/>
      <c r="AC43" s="18"/>
      <c r="AD43" s="20"/>
      <c r="AE43" s="160"/>
      <c r="AF43" s="156"/>
      <c r="AG43" s="265"/>
      <c r="AH43" s="20">
        <f t="shared" si="0"/>
        <v>28.61</v>
      </c>
      <c r="AI43" s="88">
        <f t="shared" si="1"/>
        <v>28</v>
      </c>
      <c r="AJ43" s="34">
        <f t="shared" si="2"/>
        <v>0.60999999999999943</v>
      </c>
      <c r="AK43" s="58">
        <f t="shared" si="3"/>
        <v>9.4270833333333345E-2</v>
      </c>
      <c r="AL43" s="57">
        <f>SUM(AH38:AH43)</f>
        <v>89.16</v>
      </c>
      <c r="AM43" s="21">
        <f>SUM(AK38:AK43)</f>
        <v>0.30222222222222223</v>
      </c>
      <c r="AN43" s="19"/>
      <c r="AO43" s="36"/>
      <c r="AP43" s="18"/>
      <c r="AQ43" s="36"/>
      <c r="AR43" s="18"/>
      <c r="AS43" s="36"/>
      <c r="AT43" s="18"/>
      <c r="AU43" s="36"/>
      <c r="AV43" s="18"/>
      <c r="AW43" s="36"/>
      <c r="AX43" s="18"/>
      <c r="AY43" s="36"/>
      <c r="AZ43" s="18"/>
      <c r="BA43" s="36"/>
      <c r="BB43" s="18"/>
      <c r="BC43" s="36"/>
      <c r="BD43" s="18"/>
      <c r="BE43" s="36"/>
      <c r="BF43" s="18"/>
      <c r="BG43" s="38"/>
    </row>
    <row r="44" spans="1:59" x14ac:dyDescent="0.25">
      <c r="A44" s="10"/>
      <c r="B44" s="1" t="s">
        <v>0</v>
      </c>
      <c r="C44" s="81">
        <v>42695</v>
      </c>
      <c r="D44" s="81"/>
      <c r="E44" s="3">
        <v>10</v>
      </c>
      <c r="F44" s="54">
        <v>7.14</v>
      </c>
      <c r="G44" s="2"/>
      <c r="H44" s="52">
        <v>0.21458333333333335</v>
      </c>
      <c r="I44" s="159">
        <v>129</v>
      </c>
      <c r="J44" s="175">
        <v>130</v>
      </c>
      <c r="K44" s="258">
        <v>2.5555555555555554E-2</v>
      </c>
      <c r="L44" s="11"/>
      <c r="M44" s="50"/>
      <c r="N44" s="51"/>
      <c r="O44" s="52"/>
      <c r="P44" s="161"/>
      <c r="Q44" s="157"/>
      <c r="R44" s="26"/>
      <c r="S44" s="223"/>
      <c r="T44" s="26"/>
      <c r="U44" s="53"/>
      <c r="V44" s="54"/>
      <c r="W44" s="51"/>
      <c r="X44" s="52"/>
      <c r="Y44" s="161"/>
      <c r="Z44" s="157"/>
      <c r="AA44" s="233"/>
      <c r="AB44" s="11"/>
      <c r="AC44" s="11"/>
      <c r="AD44" s="50"/>
      <c r="AE44" s="161"/>
      <c r="AF44" s="157"/>
      <c r="AG44" s="263"/>
      <c r="AH44" s="13">
        <f t="shared" si="0"/>
        <v>7.14</v>
      </c>
      <c r="AI44" s="87">
        <f t="shared" si="1"/>
        <v>10</v>
      </c>
      <c r="AJ44" s="27">
        <f t="shared" si="2"/>
        <v>-2.8600000000000003</v>
      </c>
      <c r="AK44" s="63">
        <f t="shared" si="3"/>
        <v>2.5555555555555554E-2</v>
      </c>
      <c r="AL44" s="59"/>
      <c r="AM44" s="51"/>
      <c r="AN44" s="3"/>
      <c r="AO44" s="9">
        <f>$AN$2-AN44</f>
        <v>80.7</v>
      </c>
      <c r="AQ44" s="9">
        <f>$AP$2-AP44</f>
        <v>92</v>
      </c>
      <c r="AS44" s="9">
        <f>$AR$2-AR44</f>
        <v>95</v>
      </c>
      <c r="AU44" s="9">
        <f>$AT$2-AT44</f>
        <v>98</v>
      </c>
      <c r="AV44"/>
      <c r="AW44" s="9">
        <f>$AV$2-AV44</f>
        <v>58</v>
      </c>
      <c r="AY44" s="9">
        <f>$AX$2-AX44</f>
        <v>58</v>
      </c>
      <c r="AZ44"/>
      <c r="BA44" s="9">
        <f>$AZ$2-AZ44</f>
        <v>41</v>
      </c>
      <c r="BB44"/>
      <c r="BC44" s="9">
        <f>$BB$2-BB44</f>
        <v>41</v>
      </c>
      <c r="BD44"/>
      <c r="BE44" s="9">
        <f>$BD$2-BD44</f>
        <v>30</v>
      </c>
      <c r="BG44" s="37">
        <f>$BF$2-BF44</f>
        <v>30</v>
      </c>
    </row>
    <row r="45" spans="1:59" x14ac:dyDescent="0.25">
      <c r="A45" s="10"/>
      <c r="B45" s="1" t="s">
        <v>24</v>
      </c>
      <c r="C45" s="81">
        <v>42696</v>
      </c>
      <c r="D45" s="81"/>
      <c r="E45" s="3">
        <v>10</v>
      </c>
      <c r="F45" s="54">
        <v>11.2</v>
      </c>
      <c r="G45" s="2">
        <v>0.20347222222222219</v>
      </c>
      <c r="H45" s="52">
        <v>0.20138888888888887</v>
      </c>
      <c r="I45" s="161">
        <v>143</v>
      </c>
      <c r="J45" s="157">
        <v>137</v>
      </c>
      <c r="K45" s="258">
        <v>3.7615740740740741E-2</v>
      </c>
      <c r="L45" s="11"/>
      <c r="M45" s="50"/>
      <c r="N45" s="11"/>
      <c r="O45" s="52"/>
      <c r="P45" s="161"/>
      <c r="Q45" s="157"/>
      <c r="R45" s="26"/>
      <c r="S45" s="223"/>
      <c r="T45" s="26"/>
      <c r="U45" s="53"/>
      <c r="V45" s="54"/>
      <c r="W45" s="11"/>
      <c r="X45" s="50"/>
      <c r="Y45" s="161"/>
      <c r="Z45" s="157"/>
      <c r="AA45" s="263"/>
      <c r="AB45" s="11"/>
      <c r="AC45" s="51"/>
      <c r="AD45" s="52"/>
      <c r="AE45" s="161"/>
      <c r="AF45" s="157"/>
      <c r="AG45" s="233"/>
      <c r="AH45" s="13">
        <f t="shared" si="0"/>
        <v>11.2</v>
      </c>
      <c r="AI45" s="87">
        <f t="shared" si="1"/>
        <v>10</v>
      </c>
      <c r="AJ45" s="27">
        <f t="shared" si="2"/>
        <v>1.1999999999999993</v>
      </c>
      <c r="AK45" s="63">
        <f t="shared" si="3"/>
        <v>3.7615740740740741E-2</v>
      </c>
      <c r="AL45" s="59"/>
      <c r="AM45" s="51"/>
      <c r="AN45" s="3"/>
      <c r="AV45"/>
      <c r="AZ45"/>
      <c r="BB45"/>
      <c r="BD45"/>
      <c r="BG45" s="37"/>
    </row>
    <row r="46" spans="1:59" x14ac:dyDescent="0.25">
      <c r="A46" s="10">
        <v>14</v>
      </c>
      <c r="B46" s="1" t="s">
        <v>15</v>
      </c>
      <c r="C46" s="81">
        <v>42697</v>
      </c>
      <c r="D46" s="81"/>
      <c r="E46" s="3"/>
      <c r="F46" s="54"/>
      <c r="G46" s="51"/>
      <c r="H46" s="52"/>
      <c r="I46" s="161"/>
      <c r="J46" s="157"/>
      <c r="K46" s="258"/>
      <c r="L46" s="11">
        <v>5</v>
      </c>
      <c r="M46" s="50">
        <v>5.24</v>
      </c>
      <c r="N46" s="2"/>
      <c r="O46" s="52">
        <v>0.21597222222222223</v>
      </c>
      <c r="P46" s="161">
        <v>143</v>
      </c>
      <c r="Q46" s="157">
        <v>140</v>
      </c>
      <c r="R46" s="26">
        <v>1.8900462962962963E-2</v>
      </c>
      <c r="S46" s="223"/>
      <c r="T46" s="26"/>
      <c r="U46" s="53"/>
      <c r="V46" s="54"/>
      <c r="W46" s="11"/>
      <c r="X46" s="50"/>
      <c r="Y46" s="161"/>
      <c r="Z46" s="157"/>
      <c r="AA46" s="263"/>
      <c r="AB46" s="11">
        <v>5</v>
      </c>
      <c r="AC46" s="11"/>
      <c r="AD46" s="52">
        <v>0.15902777777777777</v>
      </c>
      <c r="AE46" s="161">
        <v>184</v>
      </c>
      <c r="AF46" s="157">
        <v>185</v>
      </c>
      <c r="AG46" s="233">
        <v>1.3275462962962963E-2</v>
      </c>
      <c r="AH46" s="13">
        <f t="shared" si="0"/>
        <v>10.24</v>
      </c>
      <c r="AI46" s="87">
        <f t="shared" si="1"/>
        <v>10</v>
      </c>
      <c r="AJ46" s="27">
        <f t="shared" si="2"/>
        <v>0.24000000000000021</v>
      </c>
      <c r="AK46" s="63">
        <f t="shared" si="3"/>
        <v>3.2175925925925927E-2</v>
      </c>
      <c r="AL46" s="59"/>
      <c r="AM46" s="51"/>
      <c r="AN46" s="3"/>
      <c r="AO46" s="55"/>
      <c r="AP46" s="11"/>
      <c r="AQ46" s="55"/>
      <c r="AR46" s="11"/>
      <c r="AS46" s="55"/>
      <c r="AT46" s="11"/>
      <c r="AU46" s="55"/>
      <c r="AV46" s="11"/>
      <c r="AW46" s="55"/>
      <c r="AX46" s="11"/>
      <c r="AY46" s="55"/>
      <c r="AZ46" s="11"/>
      <c r="BA46" s="55"/>
      <c r="BB46" s="11"/>
      <c r="BC46" s="55"/>
      <c r="BD46" s="11"/>
      <c r="BE46" s="55"/>
      <c r="BF46" s="11"/>
      <c r="BG46" s="37"/>
    </row>
    <row r="47" spans="1:59" x14ac:dyDescent="0.25">
      <c r="A47" s="10"/>
      <c r="B47" s="1" t="s">
        <v>26</v>
      </c>
      <c r="C47" s="81">
        <v>42698</v>
      </c>
      <c r="D47" s="81"/>
      <c r="E47" s="3">
        <v>10</v>
      </c>
      <c r="F47" s="54">
        <v>7.87</v>
      </c>
      <c r="G47" s="2">
        <v>0.20347222222222219</v>
      </c>
      <c r="H47" s="52">
        <v>0.19999999999999998</v>
      </c>
      <c r="I47" s="161">
        <v>143</v>
      </c>
      <c r="J47" s="157">
        <v>137</v>
      </c>
      <c r="K47" s="258">
        <v>2.6192129629629631E-2</v>
      </c>
      <c r="L47" s="11"/>
      <c r="M47" s="50"/>
      <c r="N47" s="2"/>
      <c r="O47" s="52"/>
      <c r="P47" s="161"/>
      <c r="Q47" s="157"/>
      <c r="R47" s="26"/>
      <c r="S47" s="223"/>
      <c r="T47" s="26"/>
      <c r="U47" s="53"/>
      <c r="V47" s="54"/>
      <c r="W47" s="11"/>
      <c r="X47" s="50"/>
      <c r="Y47" s="161"/>
      <c r="Z47" s="157"/>
      <c r="AA47" s="263"/>
      <c r="AB47" s="11"/>
      <c r="AC47" s="11"/>
      <c r="AD47" s="52"/>
      <c r="AE47" s="161"/>
      <c r="AF47" s="157"/>
      <c r="AG47" s="233"/>
      <c r="AH47" s="13">
        <f t="shared" si="0"/>
        <v>7.87</v>
      </c>
      <c r="AI47" s="87">
        <f t="shared" si="1"/>
        <v>10</v>
      </c>
      <c r="AJ47" s="27">
        <f t="shared" si="2"/>
        <v>-2.13</v>
      </c>
      <c r="AK47" s="63">
        <f t="shared" si="3"/>
        <v>2.6192129629629631E-2</v>
      </c>
      <c r="AL47" s="59"/>
      <c r="AM47" s="51"/>
      <c r="AN47" s="3"/>
      <c r="AO47" s="55"/>
      <c r="AP47" s="11"/>
      <c r="AQ47" s="55"/>
      <c r="AR47" s="11"/>
      <c r="AS47" s="55"/>
      <c r="AT47" s="11"/>
      <c r="AU47" s="55"/>
      <c r="AV47" s="11"/>
      <c r="AW47" s="55"/>
      <c r="AX47" s="11"/>
      <c r="AY47" s="55"/>
      <c r="AZ47" s="11"/>
      <c r="BA47" s="55"/>
      <c r="BB47" s="11"/>
      <c r="BC47" s="55"/>
      <c r="BD47" s="11"/>
      <c r="BE47" s="55"/>
      <c r="BF47" s="11"/>
      <c r="BG47" s="37"/>
    </row>
    <row r="48" spans="1:59" x14ac:dyDescent="0.25">
      <c r="A48" s="10"/>
      <c r="B48" s="1" t="s">
        <v>29</v>
      </c>
      <c r="C48" s="81">
        <v>42699</v>
      </c>
      <c r="D48" s="81"/>
      <c r="E48" s="3">
        <v>12</v>
      </c>
      <c r="F48" s="54">
        <v>15.02</v>
      </c>
      <c r="G48" s="2">
        <v>0.20347222222222219</v>
      </c>
      <c r="H48" s="52">
        <v>0.19444444444444445</v>
      </c>
      <c r="I48" s="161">
        <v>143</v>
      </c>
      <c r="J48" s="157">
        <v>136</v>
      </c>
      <c r="K48" s="258">
        <v>4.87037037037037E-2</v>
      </c>
      <c r="L48" s="11"/>
      <c r="M48" s="50"/>
      <c r="N48" s="2"/>
      <c r="O48" s="52"/>
      <c r="P48" s="161"/>
      <c r="Q48" s="157"/>
      <c r="R48" s="26"/>
      <c r="S48" s="223"/>
      <c r="T48" s="26"/>
      <c r="U48" s="53"/>
      <c r="V48" s="54"/>
      <c r="W48" s="11"/>
      <c r="X48" s="50"/>
      <c r="Y48" s="161"/>
      <c r="Z48" s="157"/>
      <c r="AA48" s="263"/>
      <c r="AB48" s="11"/>
      <c r="AC48" s="11"/>
      <c r="AD48" s="52"/>
      <c r="AE48" s="161"/>
      <c r="AF48" s="157"/>
      <c r="AG48" s="233"/>
      <c r="AH48" s="13">
        <f t="shared" si="0"/>
        <v>15.02</v>
      </c>
      <c r="AI48" s="87">
        <f t="shared" si="1"/>
        <v>12</v>
      </c>
      <c r="AJ48" s="27">
        <f t="shared" si="2"/>
        <v>3.0199999999999996</v>
      </c>
      <c r="AK48" s="63">
        <f t="shared" si="3"/>
        <v>4.87037037037037E-2</v>
      </c>
      <c r="AL48" s="59"/>
      <c r="AM48" s="51"/>
      <c r="AN48" s="3"/>
      <c r="AO48" s="55"/>
      <c r="AP48" s="11"/>
      <c r="AQ48" s="55"/>
      <c r="AR48" s="11"/>
      <c r="AS48" s="55"/>
      <c r="AT48" s="11"/>
      <c r="AU48" s="55"/>
      <c r="AV48" s="11"/>
      <c r="AW48" s="55"/>
      <c r="AX48" s="11"/>
      <c r="AY48" s="55"/>
      <c r="AZ48" s="11"/>
      <c r="BA48" s="55"/>
      <c r="BB48" s="11"/>
      <c r="BC48" s="55"/>
      <c r="BD48" s="11"/>
      <c r="BE48" s="55"/>
      <c r="BF48" s="11"/>
      <c r="BG48" s="37"/>
    </row>
    <row r="49" spans="1:59" x14ac:dyDescent="0.25">
      <c r="A49" s="56"/>
      <c r="B49" s="17" t="s">
        <v>27</v>
      </c>
      <c r="C49" s="85">
        <v>42701</v>
      </c>
      <c r="D49" s="85"/>
      <c r="E49" s="19">
        <v>22</v>
      </c>
      <c r="F49" s="42">
        <v>22.64</v>
      </c>
      <c r="G49" s="21">
        <v>0.20347222222222219</v>
      </c>
      <c r="H49" s="22">
        <v>0.19930555555555554</v>
      </c>
      <c r="I49" s="160">
        <v>143</v>
      </c>
      <c r="J49" s="156">
        <v>137</v>
      </c>
      <c r="K49" s="259">
        <v>7.5127314814814813E-2</v>
      </c>
      <c r="L49" s="18"/>
      <c r="M49" s="20"/>
      <c r="N49" s="18"/>
      <c r="O49" s="20"/>
      <c r="P49" s="160"/>
      <c r="Q49" s="156"/>
      <c r="R49" s="18"/>
      <c r="S49" s="224"/>
      <c r="T49" s="84"/>
      <c r="U49" s="31"/>
      <c r="V49" s="42"/>
      <c r="W49" s="18"/>
      <c r="X49" s="20"/>
      <c r="Y49" s="160"/>
      <c r="Z49" s="156"/>
      <c r="AA49" s="265"/>
      <c r="AB49" s="18"/>
      <c r="AC49" s="18"/>
      <c r="AD49" s="20"/>
      <c r="AE49" s="160"/>
      <c r="AF49" s="156"/>
      <c r="AG49" s="265"/>
      <c r="AH49" s="20">
        <f t="shared" si="0"/>
        <v>22.64</v>
      </c>
      <c r="AI49" s="88">
        <f t="shared" si="1"/>
        <v>22</v>
      </c>
      <c r="AJ49" s="34">
        <f t="shared" si="2"/>
        <v>0.64000000000000057</v>
      </c>
      <c r="AK49" s="58">
        <f t="shared" si="3"/>
        <v>7.5127314814814813E-2</v>
      </c>
      <c r="AL49" s="57">
        <f>SUM(AH44:AH49)</f>
        <v>74.11</v>
      </c>
      <c r="AM49" s="21">
        <f>SUM(AK44:AK49)</f>
        <v>0.24537037037037035</v>
      </c>
      <c r="AN49" s="19"/>
      <c r="AO49" s="36"/>
      <c r="AP49" s="18"/>
      <c r="AQ49" s="36"/>
      <c r="AR49" s="18"/>
      <c r="AS49" s="36"/>
      <c r="AT49" s="18"/>
      <c r="AU49" s="36"/>
      <c r="AV49" s="18"/>
      <c r="AW49" s="36"/>
      <c r="AX49" s="18"/>
      <c r="AY49" s="36"/>
      <c r="AZ49" s="18"/>
      <c r="BA49" s="36"/>
      <c r="BB49" s="18"/>
      <c r="BC49" s="36"/>
      <c r="BD49" s="18"/>
      <c r="BE49" s="36"/>
      <c r="BF49" s="18"/>
      <c r="BG49" s="38"/>
    </row>
    <row r="50" spans="1:59" x14ac:dyDescent="0.25">
      <c r="A50" s="10"/>
      <c r="B50" s="1" t="s">
        <v>0</v>
      </c>
      <c r="C50" s="81">
        <v>42702</v>
      </c>
      <c r="D50" s="81"/>
      <c r="E50" s="3">
        <v>10</v>
      </c>
      <c r="F50" s="54">
        <v>10.029999999999999</v>
      </c>
      <c r="G50" s="51"/>
      <c r="H50" s="52">
        <v>0.21736111111111112</v>
      </c>
      <c r="I50" s="159">
        <v>129</v>
      </c>
      <c r="J50" s="157">
        <v>123</v>
      </c>
      <c r="K50" s="258">
        <v>3.6319444444444439E-2</v>
      </c>
      <c r="L50" s="11"/>
      <c r="M50" s="50"/>
      <c r="N50" s="11"/>
      <c r="O50" s="50"/>
      <c r="P50" s="161"/>
      <c r="Q50" s="157"/>
      <c r="R50" s="11"/>
      <c r="S50" s="223"/>
      <c r="T50" s="26"/>
      <c r="U50" s="53"/>
      <c r="V50" s="54"/>
      <c r="W50" s="11"/>
      <c r="X50" s="50"/>
      <c r="Y50" s="161"/>
      <c r="Z50" s="157"/>
      <c r="AA50" s="263"/>
      <c r="AB50" s="11"/>
      <c r="AC50" s="11"/>
      <c r="AD50" s="50"/>
      <c r="AE50" s="161"/>
      <c r="AF50" s="157"/>
      <c r="AG50" s="263"/>
      <c r="AH50" s="13">
        <f t="shared" si="0"/>
        <v>10.029999999999999</v>
      </c>
      <c r="AI50" s="87">
        <f t="shared" si="1"/>
        <v>10</v>
      </c>
      <c r="AJ50" s="27">
        <f t="shared" si="2"/>
        <v>2.9999999999999361E-2</v>
      </c>
      <c r="AK50" s="63">
        <f t="shared" si="3"/>
        <v>3.6319444444444439E-2</v>
      </c>
      <c r="AL50" s="59"/>
      <c r="AM50" s="51"/>
      <c r="AN50" s="3"/>
      <c r="AO50" s="9">
        <f>$AN$2-AN50</f>
        <v>80.7</v>
      </c>
      <c r="AQ50" s="9">
        <f>$AP$2-AP50</f>
        <v>92</v>
      </c>
      <c r="AS50" s="9">
        <f>$AR$2-AR50</f>
        <v>95</v>
      </c>
      <c r="AU50" s="9">
        <f>$AT$2-AT50</f>
        <v>98</v>
      </c>
      <c r="AV50"/>
      <c r="AW50" s="9">
        <f>$AV$2-AV50</f>
        <v>58</v>
      </c>
      <c r="AY50" s="9">
        <f>$AX$2-AX50</f>
        <v>58</v>
      </c>
      <c r="AZ50"/>
      <c r="BA50" s="9">
        <f>$AZ$2-AZ50</f>
        <v>41</v>
      </c>
      <c r="BB50"/>
      <c r="BC50" s="9">
        <f>$BB$2-BB50</f>
        <v>41</v>
      </c>
      <c r="BD50"/>
      <c r="BE50" s="9">
        <f>$BD$2-BD50</f>
        <v>30</v>
      </c>
      <c r="BG50" s="37">
        <f>$BF$2-BF50</f>
        <v>30</v>
      </c>
    </row>
    <row r="51" spans="1:59" x14ac:dyDescent="0.25">
      <c r="A51" s="10"/>
      <c r="B51" s="1" t="s">
        <v>24</v>
      </c>
      <c r="C51" s="81">
        <v>42703</v>
      </c>
      <c r="D51" s="81"/>
      <c r="E51" s="3"/>
      <c r="F51" s="54"/>
      <c r="G51" s="51"/>
      <c r="H51" s="52"/>
      <c r="I51" s="161"/>
      <c r="J51" s="157"/>
      <c r="K51" s="258"/>
      <c r="L51" s="11">
        <v>6</v>
      </c>
      <c r="M51" s="50">
        <v>6.22</v>
      </c>
      <c r="N51" s="51"/>
      <c r="O51" s="52">
        <v>0.20555555555555557</v>
      </c>
      <c r="P51" s="161">
        <v>143</v>
      </c>
      <c r="Q51" s="157">
        <v>144</v>
      </c>
      <c r="R51" s="26">
        <v>2.1307870370370369E-2</v>
      </c>
      <c r="S51" s="223"/>
      <c r="T51" s="26"/>
      <c r="U51" s="53"/>
      <c r="V51" s="54"/>
      <c r="W51" s="11"/>
      <c r="X51" s="50"/>
      <c r="Y51" s="161"/>
      <c r="Z51" s="157"/>
      <c r="AA51" s="263"/>
      <c r="AB51" s="11">
        <v>8</v>
      </c>
      <c r="AC51" s="2">
        <v>0.16250000000000001</v>
      </c>
      <c r="AD51" s="52">
        <v>0.16388888888888889</v>
      </c>
      <c r="AE51" s="161">
        <v>170</v>
      </c>
      <c r="AF51" s="157">
        <v>169</v>
      </c>
      <c r="AG51" s="233">
        <v>2.1851851851851848E-2</v>
      </c>
      <c r="AH51" s="13">
        <f t="shared" si="0"/>
        <v>14.219999999999999</v>
      </c>
      <c r="AI51" s="87">
        <f t="shared" si="1"/>
        <v>14</v>
      </c>
      <c r="AJ51" s="27">
        <f t="shared" si="2"/>
        <v>0.21999999999999886</v>
      </c>
      <c r="AK51" s="63">
        <f t="shared" si="3"/>
        <v>4.3159722222222217E-2</v>
      </c>
      <c r="AL51" s="59"/>
      <c r="AM51" s="51"/>
      <c r="AN51" s="3"/>
      <c r="AV51"/>
      <c r="AZ51"/>
      <c r="BB51"/>
      <c r="BD51"/>
      <c r="BG51" s="37"/>
    </row>
    <row r="52" spans="1:59" x14ac:dyDescent="0.25">
      <c r="A52" s="10">
        <v>15</v>
      </c>
      <c r="B52" s="1" t="s">
        <v>15</v>
      </c>
      <c r="C52" s="81">
        <v>42704</v>
      </c>
      <c r="D52" s="81"/>
      <c r="E52" s="3">
        <v>10</v>
      </c>
      <c r="F52" s="54">
        <v>10.06</v>
      </c>
      <c r="G52" s="51"/>
      <c r="H52" s="52">
        <v>0.20555555555555557</v>
      </c>
      <c r="I52" s="159">
        <v>129</v>
      </c>
      <c r="J52" s="157">
        <v>138</v>
      </c>
      <c r="K52" s="258">
        <v>3.4421296296296297E-2</v>
      </c>
      <c r="L52" s="11"/>
      <c r="M52" s="50"/>
      <c r="N52" s="2"/>
      <c r="O52" s="52"/>
      <c r="P52" s="161"/>
      <c r="Q52" s="157"/>
      <c r="R52" s="26"/>
      <c r="S52" s="223"/>
      <c r="T52" s="26"/>
      <c r="U52" s="53"/>
      <c r="V52" s="54"/>
      <c r="W52" s="51"/>
      <c r="X52" s="52"/>
      <c r="Y52" s="161"/>
      <c r="Z52" s="157"/>
      <c r="AA52" s="233"/>
      <c r="AB52" s="11"/>
      <c r="AC52" s="11"/>
      <c r="AD52" s="50"/>
      <c r="AE52" s="161"/>
      <c r="AF52" s="157"/>
      <c r="AG52" s="263"/>
      <c r="AH52" s="13">
        <f t="shared" si="0"/>
        <v>10.06</v>
      </c>
      <c r="AI52" s="87">
        <f t="shared" si="1"/>
        <v>10</v>
      </c>
      <c r="AJ52" s="27">
        <f t="shared" si="2"/>
        <v>6.0000000000000497E-2</v>
      </c>
      <c r="AK52" s="63">
        <f t="shared" si="3"/>
        <v>3.4421296296296297E-2</v>
      </c>
      <c r="AL52" s="59"/>
      <c r="AM52" s="51"/>
      <c r="AN52" s="3"/>
      <c r="AO52" s="55"/>
      <c r="AP52" s="11"/>
      <c r="AQ52" s="55"/>
      <c r="AR52" s="11"/>
      <c r="AS52" s="55"/>
      <c r="AT52" s="11"/>
      <c r="AU52" s="55"/>
      <c r="AV52" s="11"/>
      <c r="AW52" s="55"/>
      <c r="AX52" s="11"/>
      <c r="AY52" s="55"/>
      <c r="AZ52" s="11"/>
      <c r="BA52" s="55"/>
      <c r="BB52" s="11"/>
      <c r="BC52" s="55"/>
      <c r="BD52" s="11"/>
      <c r="BE52" s="55"/>
      <c r="BF52" s="11"/>
      <c r="BG52" s="37"/>
    </row>
    <row r="53" spans="1:59" x14ac:dyDescent="0.25">
      <c r="A53" s="10"/>
      <c r="B53" s="1" t="s">
        <v>26</v>
      </c>
      <c r="C53" s="81">
        <v>42705</v>
      </c>
      <c r="D53" s="81"/>
      <c r="E53" s="3">
        <v>10</v>
      </c>
      <c r="F53" s="54">
        <v>10.220000000000001</v>
      </c>
      <c r="G53" s="2">
        <v>0.20347222222222219</v>
      </c>
      <c r="H53" s="52">
        <v>0.19791666666666666</v>
      </c>
      <c r="I53" s="161">
        <v>143</v>
      </c>
      <c r="J53" s="157">
        <v>145</v>
      </c>
      <c r="K53" s="258">
        <v>3.3645833333333333E-2</v>
      </c>
      <c r="L53" s="11"/>
      <c r="M53" s="50"/>
      <c r="N53" s="2"/>
      <c r="O53" s="52"/>
      <c r="P53" s="161"/>
      <c r="Q53" s="157"/>
      <c r="R53" s="26"/>
      <c r="S53" s="223"/>
      <c r="T53" s="26"/>
      <c r="U53" s="53"/>
      <c r="V53" s="54"/>
      <c r="W53" s="51"/>
      <c r="X53" s="52"/>
      <c r="Y53" s="161"/>
      <c r="Z53" s="157"/>
      <c r="AA53" s="233"/>
      <c r="AB53" s="11"/>
      <c r="AC53" s="11"/>
      <c r="AD53" s="50"/>
      <c r="AE53" s="161"/>
      <c r="AF53" s="157"/>
      <c r="AG53" s="263"/>
      <c r="AH53" s="13">
        <f t="shared" si="0"/>
        <v>10.220000000000001</v>
      </c>
      <c r="AI53" s="87">
        <f t="shared" si="1"/>
        <v>10</v>
      </c>
      <c r="AJ53" s="27">
        <f t="shared" si="2"/>
        <v>0.22000000000000064</v>
      </c>
      <c r="AK53" s="63">
        <f t="shared" si="3"/>
        <v>3.3645833333333333E-2</v>
      </c>
      <c r="AL53" s="59"/>
      <c r="AM53" s="51"/>
      <c r="AN53" s="3"/>
      <c r="AO53" s="55"/>
      <c r="AP53" s="11"/>
      <c r="AQ53" s="55"/>
      <c r="AR53" s="11"/>
      <c r="AS53" s="55"/>
      <c r="AT53" s="11"/>
      <c r="AU53" s="55"/>
      <c r="AV53" s="11"/>
      <c r="AW53" s="55"/>
      <c r="AX53" s="11"/>
      <c r="AY53" s="55"/>
      <c r="AZ53" s="11"/>
      <c r="BA53" s="55"/>
      <c r="BB53" s="11"/>
      <c r="BC53" s="55"/>
      <c r="BD53" s="11"/>
      <c r="BE53" s="55"/>
      <c r="BF53" s="11"/>
      <c r="BG53" s="37"/>
    </row>
    <row r="54" spans="1:59" x14ac:dyDescent="0.25">
      <c r="A54" s="10"/>
      <c r="B54" s="1" t="s">
        <v>29</v>
      </c>
      <c r="C54" s="81">
        <v>42706</v>
      </c>
      <c r="D54" s="81"/>
      <c r="E54" s="3">
        <v>18</v>
      </c>
      <c r="F54" s="54">
        <v>18.010000000000002</v>
      </c>
      <c r="G54" s="2">
        <v>0.20347222222222219</v>
      </c>
      <c r="H54" s="52">
        <v>0.1986111111111111</v>
      </c>
      <c r="I54" s="161">
        <v>143</v>
      </c>
      <c r="J54" s="157">
        <v>128</v>
      </c>
      <c r="K54" s="258">
        <v>5.9699074074074071E-2</v>
      </c>
      <c r="L54" s="11"/>
      <c r="M54" s="50"/>
      <c r="N54" s="2"/>
      <c r="O54" s="52"/>
      <c r="P54" s="161"/>
      <c r="Q54" s="157"/>
      <c r="R54" s="26"/>
      <c r="S54" s="223"/>
      <c r="T54" s="26"/>
      <c r="U54" s="53"/>
      <c r="V54" s="54"/>
      <c r="W54" s="51"/>
      <c r="X54" s="52"/>
      <c r="Y54" s="161"/>
      <c r="Z54" s="157"/>
      <c r="AA54" s="233"/>
      <c r="AB54" s="11"/>
      <c r="AC54" s="11"/>
      <c r="AD54" s="50"/>
      <c r="AE54" s="161"/>
      <c r="AF54" s="157"/>
      <c r="AG54" s="263"/>
      <c r="AH54" s="13">
        <f t="shared" si="0"/>
        <v>18.010000000000002</v>
      </c>
      <c r="AI54" s="87">
        <f t="shared" si="1"/>
        <v>18</v>
      </c>
      <c r="AJ54" s="27">
        <f t="shared" si="2"/>
        <v>1.0000000000001563E-2</v>
      </c>
      <c r="AK54" s="63">
        <f t="shared" si="3"/>
        <v>5.9699074074074071E-2</v>
      </c>
      <c r="AL54" s="59"/>
      <c r="AM54" s="51"/>
      <c r="AN54" s="3"/>
      <c r="AO54" s="55"/>
      <c r="AP54" s="11"/>
      <c r="AQ54" s="55"/>
      <c r="AR54" s="11"/>
      <c r="AS54" s="55"/>
      <c r="AT54" s="11"/>
      <c r="AU54" s="55"/>
      <c r="AV54" s="11"/>
      <c r="AW54" s="55"/>
      <c r="AX54" s="11"/>
      <c r="AY54" s="55"/>
      <c r="AZ54" s="11"/>
      <c r="BA54" s="55"/>
      <c r="BB54" s="11"/>
      <c r="BC54" s="55"/>
      <c r="BD54" s="11"/>
      <c r="BE54" s="55"/>
      <c r="BF54" s="11"/>
      <c r="BG54" s="37"/>
    </row>
    <row r="55" spans="1:59" x14ac:dyDescent="0.25">
      <c r="A55" s="56"/>
      <c r="B55" s="17" t="s">
        <v>27</v>
      </c>
      <c r="C55" s="85">
        <v>42708</v>
      </c>
      <c r="D55" s="85"/>
      <c r="E55" s="19">
        <v>28</v>
      </c>
      <c r="F55" s="42">
        <v>28.05</v>
      </c>
      <c r="G55" s="21">
        <v>0.20347222222222219</v>
      </c>
      <c r="H55" s="22">
        <v>0.20277777777777781</v>
      </c>
      <c r="I55" s="160">
        <v>157</v>
      </c>
      <c r="J55" s="156">
        <v>139</v>
      </c>
      <c r="K55" s="259">
        <v>9.481481481481481E-2</v>
      </c>
      <c r="L55" s="18"/>
      <c r="M55" s="20"/>
      <c r="N55" s="18"/>
      <c r="O55" s="20"/>
      <c r="P55" s="160"/>
      <c r="Q55" s="156"/>
      <c r="R55" s="18"/>
      <c r="S55" s="224"/>
      <c r="T55" s="84"/>
      <c r="U55" s="31"/>
      <c r="V55" s="42"/>
      <c r="W55" s="18"/>
      <c r="X55" s="20"/>
      <c r="Y55" s="160"/>
      <c r="Z55" s="156"/>
      <c r="AA55" s="265"/>
      <c r="AB55" s="18"/>
      <c r="AC55" s="18"/>
      <c r="AD55" s="20"/>
      <c r="AE55" s="160"/>
      <c r="AF55" s="156"/>
      <c r="AG55" s="265"/>
      <c r="AH55" s="20">
        <f t="shared" si="0"/>
        <v>28.05</v>
      </c>
      <c r="AI55" s="88">
        <f t="shared" si="1"/>
        <v>28</v>
      </c>
      <c r="AJ55" s="34">
        <f t="shared" si="2"/>
        <v>5.0000000000000711E-2</v>
      </c>
      <c r="AK55" s="58">
        <f t="shared" si="3"/>
        <v>9.481481481481481E-2</v>
      </c>
      <c r="AL55" s="57">
        <f>SUM(AH50:AH55)</f>
        <v>90.59</v>
      </c>
      <c r="AM55" s="21">
        <f>SUM(AK50:AK55)</f>
        <v>0.30206018518518518</v>
      </c>
      <c r="AN55" s="19"/>
      <c r="AO55" s="36"/>
      <c r="AP55" s="18"/>
      <c r="AQ55" s="36"/>
      <c r="AR55" s="18"/>
      <c r="AS55" s="36"/>
      <c r="AT55" s="18"/>
      <c r="AU55" s="36"/>
      <c r="AV55" s="18"/>
      <c r="AW55" s="36"/>
      <c r="AX55" s="18"/>
      <c r="AY55" s="36"/>
      <c r="AZ55" s="18"/>
      <c r="BA55" s="36"/>
      <c r="BB55" s="18"/>
      <c r="BC55" s="36"/>
      <c r="BD55" s="18"/>
      <c r="BE55" s="36"/>
      <c r="BF55" s="18"/>
      <c r="BG55" s="38"/>
    </row>
    <row r="56" spans="1:59" x14ac:dyDescent="0.25">
      <c r="A56" s="10"/>
      <c r="B56" s="1" t="s">
        <v>0</v>
      </c>
      <c r="C56" s="81">
        <v>42709</v>
      </c>
      <c r="D56" s="81"/>
      <c r="E56" s="3">
        <v>10</v>
      </c>
      <c r="F56" s="54">
        <v>10.039999999999999</v>
      </c>
      <c r="G56" s="51"/>
      <c r="H56" s="52">
        <v>0.21180555555555555</v>
      </c>
      <c r="I56" s="159">
        <v>129</v>
      </c>
      <c r="J56" s="157">
        <v>144</v>
      </c>
      <c r="K56" s="258">
        <v>3.5497685185185188E-2</v>
      </c>
      <c r="L56" s="11"/>
      <c r="M56" s="50"/>
      <c r="N56" s="51"/>
      <c r="O56" s="52"/>
      <c r="P56" s="161"/>
      <c r="Q56" s="157"/>
      <c r="R56" s="26"/>
      <c r="S56" s="223"/>
      <c r="T56" s="26"/>
      <c r="U56" s="53"/>
      <c r="V56" s="54"/>
      <c r="W56" s="11"/>
      <c r="X56" s="50"/>
      <c r="Y56" s="161"/>
      <c r="Z56" s="157"/>
      <c r="AA56" s="263"/>
      <c r="AB56" s="11"/>
      <c r="AC56" s="11"/>
      <c r="AD56" s="52"/>
      <c r="AE56" s="161"/>
      <c r="AF56" s="157"/>
      <c r="AG56" s="233"/>
      <c r="AH56" s="13">
        <f t="shared" si="0"/>
        <v>10.039999999999999</v>
      </c>
      <c r="AI56" s="87">
        <f t="shared" si="1"/>
        <v>10</v>
      </c>
      <c r="AJ56" s="27">
        <f t="shared" si="2"/>
        <v>3.9999999999999147E-2</v>
      </c>
      <c r="AK56" s="63">
        <f t="shared" si="3"/>
        <v>3.5497685185185188E-2</v>
      </c>
      <c r="AL56" s="59"/>
      <c r="AM56" s="51"/>
      <c r="AN56" s="3"/>
      <c r="AO56" s="9">
        <f>$AN$2-AN56</f>
        <v>80.7</v>
      </c>
      <c r="AQ56" s="9">
        <f>$AP$2-AP56</f>
        <v>92</v>
      </c>
      <c r="AS56" s="9">
        <f>$AR$2-AR56</f>
        <v>95</v>
      </c>
      <c r="AU56" s="9">
        <f>$AT$2-AT56</f>
        <v>98</v>
      </c>
      <c r="AV56"/>
      <c r="AW56" s="9">
        <f>$AV$2-AV56</f>
        <v>58</v>
      </c>
      <c r="AY56" s="9">
        <f>$AX$2-AX56</f>
        <v>58</v>
      </c>
      <c r="AZ56"/>
      <c r="BA56" s="9">
        <f>$AZ$2-AZ56</f>
        <v>41</v>
      </c>
      <c r="BB56"/>
      <c r="BC56" s="9">
        <f>$BB$2-BB56</f>
        <v>41</v>
      </c>
      <c r="BD56"/>
      <c r="BE56" s="9">
        <f>$BD$2-BD56</f>
        <v>30</v>
      </c>
      <c r="BG56" s="37">
        <f>$BF$2-BF56</f>
        <v>30</v>
      </c>
    </row>
    <row r="57" spans="1:59" x14ac:dyDescent="0.25">
      <c r="A57" s="10"/>
      <c r="B57" s="1" t="s">
        <v>24</v>
      </c>
      <c r="C57" s="81">
        <v>42710</v>
      </c>
      <c r="D57" s="81"/>
      <c r="E57" s="3"/>
      <c r="F57" s="54"/>
      <c r="G57" s="51"/>
      <c r="H57" s="52"/>
      <c r="I57" s="161"/>
      <c r="J57" s="157"/>
      <c r="K57" s="258"/>
      <c r="L57" s="11">
        <v>6</v>
      </c>
      <c r="M57" s="50">
        <v>6.43</v>
      </c>
      <c r="N57" s="51"/>
      <c r="O57" s="52">
        <v>0.21249999999999999</v>
      </c>
      <c r="P57" s="161">
        <v>143</v>
      </c>
      <c r="Q57" s="157">
        <v>136</v>
      </c>
      <c r="R57" s="26">
        <v>2.2789351851851852E-2</v>
      </c>
      <c r="S57" s="223"/>
      <c r="T57" s="26"/>
      <c r="U57" s="53"/>
      <c r="V57" s="54"/>
      <c r="W57" s="11"/>
      <c r="X57" s="50"/>
      <c r="Y57" s="161"/>
      <c r="Z57" s="157"/>
      <c r="AA57" s="263"/>
      <c r="AB57" s="11">
        <v>9</v>
      </c>
      <c r="AC57" s="2">
        <v>0.16250000000000001</v>
      </c>
      <c r="AD57" s="52">
        <v>0.1673611111111111</v>
      </c>
      <c r="AE57" s="161">
        <v>170</v>
      </c>
      <c r="AF57" s="157">
        <v>165</v>
      </c>
      <c r="AG57" s="233">
        <v>2.4988425925925928E-2</v>
      </c>
      <c r="AH57" s="50">
        <f t="shared" si="0"/>
        <v>15.43</v>
      </c>
      <c r="AI57" s="87">
        <f t="shared" si="1"/>
        <v>15</v>
      </c>
      <c r="AJ57" s="27">
        <f t="shared" si="2"/>
        <v>0.42999999999999972</v>
      </c>
      <c r="AK57" s="63">
        <f t="shared" si="3"/>
        <v>4.777777777777778E-2</v>
      </c>
      <c r="AL57" s="59"/>
      <c r="AM57" s="51"/>
      <c r="AN57" s="3"/>
      <c r="AV57"/>
      <c r="AZ57"/>
      <c r="BB57"/>
      <c r="BD57"/>
      <c r="BG57" s="37"/>
    </row>
    <row r="58" spans="1:59" x14ac:dyDescent="0.25">
      <c r="A58" s="10">
        <v>16</v>
      </c>
      <c r="B58" s="1" t="s">
        <v>15</v>
      </c>
      <c r="C58" s="81">
        <v>42711</v>
      </c>
      <c r="D58" s="81"/>
      <c r="E58" s="3">
        <v>10</v>
      </c>
      <c r="F58" s="54">
        <v>5.28</v>
      </c>
      <c r="G58" s="51"/>
      <c r="H58" s="52">
        <v>0.19791666666666666</v>
      </c>
      <c r="I58" s="159">
        <v>129</v>
      </c>
      <c r="J58" s="157">
        <v>135</v>
      </c>
      <c r="K58" s="258">
        <v>1.7430555555555557E-2</v>
      </c>
      <c r="L58" s="11"/>
      <c r="M58" s="50"/>
      <c r="N58" s="51"/>
      <c r="O58" s="52"/>
      <c r="P58" s="161"/>
      <c r="Q58" s="157"/>
      <c r="R58" s="26"/>
      <c r="S58" s="223"/>
      <c r="T58" s="26"/>
      <c r="U58" s="53"/>
      <c r="V58" s="54"/>
      <c r="W58" s="11"/>
      <c r="X58" s="50"/>
      <c r="Y58" s="161"/>
      <c r="Z58" s="157"/>
      <c r="AA58" s="263"/>
      <c r="AB58" s="11"/>
      <c r="AC58" s="11"/>
      <c r="AD58" s="52"/>
      <c r="AE58" s="161"/>
      <c r="AF58" s="157"/>
      <c r="AG58" s="233"/>
      <c r="AH58" s="50">
        <f t="shared" si="0"/>
        <v>5.28</v>
      </c>
      <c r="AI58" s="87">
        <f t="shared" si="1"/>
        <v>10</v>
      </c>
      <c r="AJ58" s="27">
        <f t="shared" si="2"/>
        <v>-4.72</v>
      </c>
      <c r="AK58" s="63">
        <f t="shared" si="3"/>
        <v>1.7430555555555557E-2</v>
      </c>
      <c r="AL58" s="59"/>
      <c r="AM58" s="51"/>
      <c r="AN58" s="3"/>
      <c r="AO58" s="55"/>
      <c r="AP58" s="11"/>
      <c r="AQ58" s="55"/>
      <c r="AR58" s="11"/>
      <c r="AS58" s="55"/>
      <c r="AT58" s="11"/>
      <c r="AU58" s="55"/>
      <c r="AV58" s="11"/>
      <c r="AW58" s="55"/>
      <c r="AX58" s="11"/>
      <c r="AY58" s="55"/>
      <c r="AZ58" s="11"/>
      <c r="BA58" s="55"/>
      <c r="BB58" s="11"/>
      <c r="BC58" s="55"/>
      <c r="BD58" s="11"/>
      <c r="BE58" s="55"/>
      <c r="BF58" s="11"/>
      <c r="BG58" s="37"/>
    </row>
    <row r="59" spans="1:59" x14ac:dyDescent="0.25">
      <c r="A59" s="10"/>
      <c r="B59" s="1" t="s">
        <v>26</v>
      </c>
      <c r="C59" s="81">
        <v>42712</v>
      </c>
      <c r="D59" s="81"/>
      <c r="E59" s="3">
        <v>20</v>
      </c>
      <c r="F59" s="54">
        <v>23.31</v>
      </c>
      <c r="G59" s="2">
        <v>0.20347222222222219</v>
      </c>
      <c r="H59" s="52">
        <v>0.19652777777777777</v>
      </c>
      <c r="I59" s="161">
        <v>143</v>
      </c>
      <c r="J59" s="157">
        <v>131</v>
      </c>
      <c r="K59" s="258">
        <v>7.6284722222222226E-2</v>
      </c>
      <c r="L59" s="11"/>
      <c r="M59" s="50"/>
      <c r="N59" s="51"/>
      <c r="O59" s="52"/>
      <c r="P59" s="161"/>
      <c r="Q59" s="157"/>
      <c r="R59" s="26"/>
      <c r="S59" s="223"/>
      <c r="T59" s="26"/>
      <c r="U59" s="53"/>
      <c r="V59" s="54"/>
      <c r="W59" s="11"/>
      <c r="X59" s="50"/>
      <c r="Y59" s="161"/>
      <c r="Z59" s="157"/>
      <c r="AA59" s="263"/>
      <c r="AB59" s="11"/>
      <c r="AC59" s="11"/>
      <c r="AD59" s="52"/>
      <c r="AE59" s="161"/>
      <c r="AF59" s="157"/>
      <c r="AG59" s="233"/>
      <c r="AH59" s="13">
        <f t="shared" si="0"/>
        <v>23.31</v>
      </c>
      <c r="AI59" s="87">
        <f t="shared" si="1"/>
        <v>20</v>
      </c>
      <c r="AJ59" s="27">
        <f t="shared" si="2"/>
        <v>3.3099999999999987</v>
      </c>
      <c r="AK59" s="63">
        <f t="shared" si="3"/>
        <v>7.6284722222222226E-2</v>
      </c>
      <c r="AL59" s="59"/>
      <c r="AM59" s="51"/>
      <c r="AN59" s="3"/>
      <c r="AO59" s="55"/>
      <c r="AP59" s="11"/>
      <c r="AQ59" s="55"/>
      <c r="AR59" s="11"/>
      <c r="AS59" s="55"/>
      <c r="AT59" s="11"/>
      <c r="AU59" s="55"/>
      <c r="AV59" s="11"/>
      <c r="AW59" s="55"/>
      <c r="AX59" s="11"/>
      <c r="AY59" s="55"/>
      <c r="AZ59" s="11"/>
      <c r="BA59" s="55"/>
      <c r="BB59" s="11"/>
      <c r="BC59" s="55"/>
      <c r="BD59" s="11"/>
      <c r="BE59" s="55"/>
      <c r="BF59" s="11"/>
      <c r="BG59" s="37"/>
    </row>
    <row r="60" spans="1:59" x14ac:dyDescent="0.25">
      <c r="A60" s="10"/>
      <c r="B60" s="1" t="s">
        <v>29</v>
      </c>
      <c r="C60" s="81">
        <v>42713</v>
      </c>
      <c r="D60" s="81"/>
      <c r="E60" s="3"/>
      <c r="F60" s="54">
        <v>31.09</v>
      </c>
      <c r="G60" s="51"/>
      <c r="H60" s="52">
        <v>0.20486111111111113</v>
      </c>
      <c r="I60" s="161"/>
      <c r="J60" s="157">
        <v>150</v>
      </c>
      <c r="K60" s="258">
        <v>0.10603009259259259</v>
      </c>
      <c r="L60" s="11">
        <v>0</v>
      </c>
      <c r="M60" s="50">
        <v>0</v>
      </c>
      <c r="N60" s="51"/>
      <c r="O60" s="52"/>
      <c r="P60" s="161">
        <v>143</v>
      </c>
      <c r="Q60" s="157">
        <v>0</v>
      </c>
      <c r="R60" s="26"/>
      <c r="S60" s="223"/>
      <c r="T60" s="26"/>
      <c r="U60" s="53"/>
      <c r="V60" s="54"/>
      <c r="W60" s="11"/>
      <c r="X60" s="50"/>
      <c r="Y60" s="161"/>
      <c r="Z60" s="157"/>
      <c r="AA60" s="263"/>
      <c r="AB60" s="11"/>
      <c r="AC60" s="11">
        <v>0</v>
      </c>
      <c r="AD60" s="52"/>
      <c r="AE60" s="161">
        <v>184</v>
      </c>
      <c r="AF60" s="157">
        <v>0</v>
      </c>
      <c r="AG60" s="233"/>
      <c r="AH60" s="50">
        <f t="shared" si="0"/>
        <v>31.09</v>
      </c>
      <c r="AI60" s="87">
        <v>9</v>
      </c>
      <c r="AJ60" s="27">
        <f t="shared" si="2"/>
        <v>22.09</v>
      </c>
      <c r="AK60" s="63">
        <f t="shared" si="3"/>
        <v>0.10603009259259259</v>
      </c>
      <c r="AL60" s="59"/>
      <c r="AM60" s="51"/>
      <c r="AN60" s="3"/>
      <c r="AO60" s="55"/>
      <c r="AP60" s="11"/>
      <c r="AQ60" s="55"/>
      <c r="AR60" s="11"/>
      <c r="AS60" s="55"/>
      <c r="AT60" s="11"/>
      <c r="AU60" s="55"/>
      <c r="AV60" s="11"/>
      <c r="AW60" s="55"/>
      <c r="AX60" s="11"/>
      <c r="AY60" s="55"/>
      <c r="AZ60" s="11"/>
      <c r="BA60" s="55"/>
      <c r="BB60" s="11"/>
      <c r="BC60" s="55"/>
      <c r="BD60" s="11"/>
      <c r="BE60" s="55"/>
      <c r="BF60" s="11"/>
      <c r="BG60" s="37"/>
    </row>
    <row r="61" spans="1:59" x14ac:dyDescent="0.25">
      <c r="A61" s="56"/>
      <c r="B61" s="17" t="s">
        <v>27</v>
      </c>
      <c r="C61" s="85">
        <v>42715</v>
      </c>
      <c r="D61" s="85" t="s">
        <v>353</v>
      </c>
      <c r="E61" s="19">
        <v>30</v>
      </c>
      <c r="F61" s="42">
        <v>13.31</v>
      </c>
      <c r="G61" s="21">
        <v>0.20347222222222219</v>
      </c>
      <c r="H61" s="22">
        <v>0.1986111111111111</v>
      </c>
      <c r="I61" s="160">
        <v>157</v>
      </c>
      <c r="J61" s="156">
        <v>143</v>
      </c>
      <c r="K61" s="259">
        <v>4.3807870370370372E-2</v>
      </c>
      <c r="L61" s="18"/>
      <c r="M61" s="20"/>
      <c r="N61" s="18"/>
      <c r="O61" s="20"/>
      <c r="P61" s="160"/>
      <c r="Q61" s="156"/>
      <c r="R61" s="18"/>
      <c r="S61" s="224"/>
      <c r="T61" s="84"/>
      <c r="U61" s="31"/>
      <c r="V61" s="42"/>
      <c r="W61" s="18"/>
      <c r="X61" s="20"/>
      <c r="Y61" s="160"/>
      <c r="Z61" s="156"/>
      <c r="AA61" s="265"/>
      <c r="AB61" s="18"/>
      <c r="AC61" s="18"/>
      <c r="AD61" s="20"/>
      <c r="AE61" s="160"/>
      <c r="AF61" s="156"/>
      <c r="AG61" s="265"/>
      <c r="AH61" s="20">
        <f t="shared" si="0"/>
        <v>13.31</v>
      </c>
      <c r="AI61" s="88">
        <f t="shared" si="1"/>
        <v>30</v>
      </c>
      <c r="AJ61" s="34">
        <f t="shared" si="2"/>
        <v>-16.689999999999998</v>
      </c>
      <c r="AK61" s="58">
        <f t="shared" si="3"/>
        <v>4.3807870370370372E-2</v>
      </c>
      <c r="AL61" s="57">
        <f>SUM(AH56:AH61)</f>
        <v>98.460000000000008</v>
      </c>
      <c r="AM61" s="21">
        <f>SUM(AK56:AK61)</f>
        <v>0.3268287037037037</v>
      </c>
      <c r="AN61" s="19"/>
      <c r="AO61" s="36"/>
      <c r="AP61" s="18"/>
      <c r="AQ61" s="36"/>
      <c r="AR61" s="18"/>
      <c r="AS61" s="36"/>
      <c r="AT61" s="18"/>
      <c r="AU61" s="36"/>
      <c r="AV61" s="18"/>
      <c r="AW61" s="36"/>
      <c r="AX61" s="18"/>
      <c r="AY61" s="36"/>
      <c r="AZ61" s="18"/>
      <c r="BA61" s="36"/>
      <c r="BB61" s="18"/>
      <c r="BC61" s="36"/>
      <c r="BD61" s="18"/>
      <c r="BE61" s="36"/>
      <c r="BF61" s="18"/>
      <c r="BG61" s="38"/>
    </row>
    <row r="62" spans="1:59" x14ac:dyDescent="0.25">
      <c r="A62" s="10"/>
      <c r="B62" s="1" t="s">
        <v>0</v>
      </c>
      <c r="C62" s="81">
        <v>42716</v>
      </c>
      <c r="D62" s="81"/>
      <c r="E62" s="3">
        <v>10</v>
      </c>
      <c r="F62" s="54">
        <v>10.36</v>
      </c>
      <c r="G62" s="51"/>
      <c r="H62" s="52">
        <v>0.2076388888888889</v>
      </c>
      <c r="I62" s="159">
        <v>129</v>
      </c>
      <c r="J62" s="157">
        <v>138</v>
      </c>
      <c r="K62" s="258">
        <v>3.5891203703703703E-2</v>
      </c>
      <c r="L62" s="11"/>
      <c r="M62" s="50"/>
      <c r="N62" s="51"/>
      <c r="O62" s="52"/>
      <c r="P62" s="161"/>
      <c r="Q62" s="157"/>
      <c r="R62" s="26"/>
      <c r="S62" s="223"/>
      <c r="T62" s="26"/>
      <c r="U62" s="53"/>
      <c r="V62" s="54"/>
      <c r="W62" s="11"/>
      <c r="X62" s="50"/>
      <c r="Y62" s="161"/>
      <c r="Z62" s="157"/>
      <c r="AA62" s="263"/>
      <c r="AB62" s="11"/>
      <c r="AC62" s="11"/>
      <c r="AD62" s="52"/>
      <c r="AE62" s="161"/>
      <c r="AF62" s="157"/>
      <c r="AG62" s="233"/>
      <c r="AH62" s="13">
        <f t="shared" si="0"/>
        <v>10.36</v>
      </c>
      <c r="AI62" s="87">
        <f t="shared" si="1"/>
        <v>10</v>
      </c>
      <c r="AJ62" s="27">
        <f t="shared" si="2"/>
        <v>0.35999999999999943</v>
      </c>
      <c r="AK62" s="63">
        <f t="shared" si="3"/>
        <v>3.5891203703703703E-2</v>
      </c>
      <c r="AL62" s="59"/>
      <c r="AM62" s="51"/>
      <c r="AN62" s="3"/>
      <c r="AO62" s="9">
        <f>$AN$2-AN62</f>
        <v>80.7</v>
      </c>
      <c r="AQ62" s="9">
        <f>$AP$2-AP62</f>
        <v>92</v>
      </c>
      <c r="AS62" s="9">
        <f>$AR$2-AR62</f>
        <v>95</v>
      </c>
      <c r="AU62" s="9">
        <f>$AT$2-AT62</f>
        <v>98</v>
      </c>
      <c r="AV62"/>
      <c r="AW62" s="9">
        <f>$AV$2-AV62</f>
        <v>58</v>
      </c>
      <c r="AY62" s="9">
        <f>$AX$2-AX62</f>
        <v>58</v>
      </c>
      <c r="AZ62"/>
      <c r="BA62" s="9">
        <f>$AZ$2-AZ62</f>
        <v>41</v>
      </c>
      <c r="BB62"/>
      <c r="BC62" s="9">
        <f>$BB$2-BB62</f>
        <v>41</v>
      </c>
      <c r="BD62"/>
      <c r="BE62" s="9">
        <f>$BD$2-BD62</f>
        <v>30</v>
      </c>
      <c r="BG62" s="37">
        <f>$BF$2-BF62</f>
        <v>30</v>
      </c>
    </row>
    <row r="63" spans="1:59" x14ac:dyDescent="0.25">
      <c r="A63" s="10"/>
      <c r="B63" s="1" t="s">
        <v>24</v>
      </c>
      <c r="C63" s="81">
        <v>42717</v>
      </c>
      <c r="D63" s="81"/>
      <c r="E63" s="3"/>
      <c r="F63" s="54"/>
      <c r="G63" s="51"/>
      <c r="H63" s="52"/>
      <c r="I63" s="161"/>
      <c r="J63" s="157"/>
      <c r="K63" s="258"/>
      <c r="L63" s="11">
        <v>6</v>
      </c>
      <c r="M63" s="50">
        <v>6.2</v>
      </c>
      <c r="N63" s="11"/>
      <c r="O63" s="52">
        <v>0.20694444444444446</v>
      </c>
      <c r="P63" s="161">
        <v>143</v>
      </c>
      <c r="Q63" s="157">
        <v>138</v>
      </c>
      <c r="R63" s="26">
        <v>2.1412037037037035E-2</v>
      </c>
      <c r="S63" s="223"/>
      <c r="T63" s="26"/>
      <c r="U63" s="53"/>
      <c r="V63" s="54"/>
      <c r="W63" s="11"/>
      <c r="X63" s="50"/>
      <c r="Y63" s="161"/>
      <c r="Z63" s="157"/>
      <c r="AA63" s="263"/>
      <c r="AB63" s="11">
        <v>7</v>
      </c>
      <c r="AC63" s="2">
        <v>0.16250000000000001</v>
      </c>
      <c r="AD63" s="52">
        <v>0.16250000000000001</v>
      </c>
      <c r="AE63" s="161">
        <v>170</v>
      </c>
      <c r="AF63" s="157">
        <v>164</v>
      </c>
      <c r="AG63" s="233">
        <v>1.8969907407407408E-2</v>
      </c>
      <c r="AH63" s="13">
        <f t="shared" si="0"/>
        <v>13.2</v>
      </c>
      <c r="AI63" s="87">
        <f t="shared" si="1"/>
        <v>13</v>
      </c>
      <c r="AJ63" s="27">
        <f t="shared" si="2"/>
        <v>0.19999999999999929</v>
      </c>
      <c r="AK63" s="63">
        <f t="shared" si="3"/>
        <v>4.0381944444444443E-2</v>
      </c>
      <c r="AL63" s="59"/>
      <c r="AM63" s="51"/>
      <c r="AN63" s="3"/>
      <c r="AV63"/>
      <c r="AZ63"/>
      <c r="BB63"/>
      <c r="BD63"/>
      <c r="BG63" s="37"/>
    </row>
    <row r="64" spans="1:59" x14ac:dyDescent="0.25">
      <c r="A64" s="10">
        <v>17</v>
      </c>
      <c r="B64" s="1" t="s">
        <v>15</v>
      </c>
      <c r="C64" s="81">
        <v>42718</v>
      </c>
      <c r="D64" s="81"/>
      <c r="E64" s="3">
        <v>10</v>
      </c>
      <c r="F64" s="54">
        <v>10</v>
      </c>
      <c r="G64" s="51"/>
      <c r="H64" s="52">
        <v>0.20208333333333331</v>
      </c>
      <c r="I64" s="159">
        <v>129</v>
      </c>
      <c r="J64" s="157">
        <v>139</v>
      </c>
      <c r="K64" s="258">
        <v>3.3715277777777775E-2</v>
      </c>
      <c r="L64" s="11"/>
      <c r="M64" s="52"/>
      <c r="N64" s="51"/>
      <c r="O64" s="52"/>
      <c r="P64" s="161"/>
      <c r="Q64" s="157"/>
      <c r="R64" s="26"/>
      <c r="S64" s="223"/>
      <c r="T64" s="26"/>
      <c r="U64" s="53"/>
      <c r="V64" s="54"/>
      <c r="W64" s="11"/>
      <c r="X64" s="50"/>
      <c r="Y64" s="161"/>
      <c r="Z64" s="157"/>
      <c r="AA64" s="263"/>
      <c r="AB64" s="11"/>
      <c r="AC64" s="11"/>
      <c r="AD64" s="52"/>
      <c r="AE64" s="161"/>
      <c r="AF64" s="157"/>
      <c r="AG64" s="233"/>
      <c r="AH64" s="13">
        <f t="shared" si="0"/>
        <v>10</v>
      </c>
      <c r="AI64" s="87">
        <f t="shared" si="1"/>
        <v>10</v>
      </c>
      <c r="AJ64" s="27">
        <f t="shared" si="2"/>
        <v>0</v>
      </c>
      <c r="AK64" s="63">
        <f t="shared" si="3"/>
        <v>3.3715277777777775E-2</v>
      </c>
      <c r="AL64" s="59"/>
      <c r="AM64" s="51"/>
      <c r="AN64" s="3"/>
      <c r="AO64" s="55"/>
      <c r="AP64" s="11"/>
      <c r="AQ64" s="55"/>
      <c r="AR64" s="11"/>
      <c r="AS64" s="55"/>
      <c r="AT64" s="11"/>
      <c r="AU64" s="55"/>
      <c r="AV64" s="11"/>
      <c r="AW64" s="55"/>
      <c r="AX64" s="11"/>
      <c r="AY64" s="55"/>
      <c r="AZ64" s="11"/>
      <c r="BA64" s="55"/>
      <c r="BB64" s="11"/>
      <c r="BC64" s="55"/>
      <c r="BD64" s="11"/>
      <c r="BE64" s="55"/>
      <c r="BF64" s="11"/>
      <c r="BG64" s="37"/>
    </row>
    <row r="65" spans="1:59" x14ac:dyDescent="0.25">
      <c r="A65" s="10"/>
      <c r="B65" s="1" t="s">
        <v>26</v>
      </c>
      <c r="C65" s="81">
        <v>42719</v>
      </c>
      <c r="D65" s="81"/>
      <c r="E65" s="189">
        <v>12</v>
      </c>
      <c r="F65" s="54">
        <v>10.07</v>
      </c>
      <c r="G65" s="2">
        <v>0.20347222222222219</v>
      </c>
      <c r="H65" s="52">
        <v>0.19375000000000001</v>
      </c>
      <c r="I65" s="161">
        <v>143</v>
      </c>
      <c r="J65" s="157">
        <v>150</v>
      </c>
      <c r="K65" s="258">
        <v>3.2488425925925928E-2</v>
      </c>
      <c r="L65" s="11"/>
      <c r="M65" s="52"/>
      <c r="N65" s="51"/>
      <c r="O65" s="52"/>
      <c r="P65" s="161"/>
      <c r="Q65" s="157"/>
      <c r="R65" s="26"/>
      <c r="S65" s="223"/>
      <c r="T65" s="26"/>
      <c r="U65" s="53"/>
      <c r="V65" s="54"/>
      <c r="W65" s="11"/>
      <c r="X65" s="50"/>
      <c r="Y65" s="161"/>
      <c r="Z65" s="157"/>
      <c r="AA65" s="263"/>
      <c r="AB65" s="11"/>
      <c r="AC65" s="11"/>
      <c r="AD65" s="52"/>
      <c r="AE65" s="161"/>
      <c r="AF65" s="157"/>
      <c r="AG65" s="233"/>
      <c r="AH65" s="13">
        <f t="shared" si="0"/>
        <v>10.07</v>
      </c>
      <c r="AI65" s="87">
        <f t="shared" si="1"/>
        <v>12</v>
      </c>
      <c r="AJ65" s="27">
        <f t="shared" si="2"/>
        <v>-1.9299999999999997</v>
      </c>
      <c r="AK65" s="63">
        <f t="shared" si="3"/>
        <v>3.2488425925925928E-2</v>
      </c>
      <c r="AL65" s="59"/>
      <c r="AM65" s="51"/>
      <c r="AN65" s="3"/>
      <c r="AO65" s="55"/>
      <c r="AP65" s="11"/>
      <c r="AQ65" s="55"/>
      <c r="AR65" s="11"/>
      <c r="AS65" s="55"/>
      <c r="AT65" s="11"/>
      <c r="AU65" s="55"/>
      <c r="AV65" s="11"/>
      <c r="AW65" s="55"/>
      <c r="AX65" s="11"/>
      <c r="AY65" s="55"/>
      <c r="AZ65" s="11"/>
      <c r="BA65" s="55"/>
      <c r="BB65" s="11"/>
      <c r="BC65" s="55"/>
      <c r="BD65" s="11"/>
      <c r="BE65" s="55"/>
      <c r="BF65" s="11"/>
      <c r="BG65" s="37"/>
    </row>
    <row r="66" spans="1:59" x14ac:dyDescent="0.25">
      <c r="A66" s="10"/>
      <c r="B66" s="1" t="s">
        <v>29</v>
      </c>
      <c r="C66" s="81">
        <v>42720</v>
      </c>
      <c r="D66" s="81"/>
      <c r="E66" s="3">
        <v>21</v>
      </c>
      <c r="F66" s="54">
        <v>30.62</v>
      </c>
      <c r="G66" s="2">
        <v>0.20347222222222219</v>
      </c>
      <c r="H66" s="52">
        <v>0.20416666666666669</v>
      </c>
      <c r="I66" s="161">
        <v>143</v>
      </c>
      <c r="J66" s="157">
        <v>136</v>
      </c>
      <c r="K66" s="258">
        <v>0.10416666666666667</v>
      </c>
      <c r="L66" s="11"/>
      <c r="M66" s="52"/>
      <c r="N66" s="51"/>
      <c r="O66" s="52"/>
      <c r="P66" s="161"/>
      <c r="Q66" s="157"/>
      <c r="R66" s="26"/>
      <c r="S66" s="223"/>
      <c r="T66" s="26"/>
      <c r="U66" s="53"/>
      <c r="V66" s="54"/>
      <c r="W66" s="11"/>
      <c r="X66" s="50"/>
      <c r="Y66" s="161"/>
      <c r="Z66" s="157"/>
      <c r="AA66" s="263"/>
      <c r="AB66" s="11"/>
      <c r="AC66" s="11"/>
      <c r="AD66" s="52"/>
      <c r="AE66" s="161"/>
      <c r="AF66" s="157"/>
      <c r="AG66" s="233"/>
      <c r="AH66" s="13">
        <f t="shared" si="0"/>
        <v>30.62</v>
      </c>
      <c r="AI66" s="87">
        <f t="shared" si="1"/>
        <v>21</v>
      </c>
      <c r="AJ66" s="27">
        <f t="shared" si="2"/>
        <v>9.620000000000001</v>
      </c>
      <c r="AK66" s="63">
        <f t="shared" si="3"/>
        <v>0.10416666666666667</v>
      </c>
      <c r="AL66" s="59"/>
      <c r="AM66" s="51"/>
      <c r="AN66" s="3"/>
      <c r="AO66" s="55"/>
      <c r="AP66" s="11"/>
      <c r="AQ66" s="55"/>
      <c r="AR66" s="11"/>
      <c r="AS66" s="55"/>
      <c r="AT66" s="11"/>
      <c r="AU66" s="55"/>
      <c r="AV66" s="11"/>
      <c r="AW66" s="55"/>
      <c r="AX66" s="11"/>
      <c r="AY66" s="55"/>
      <c r="AZ66" s="11"/>
      <c r="BA66" s="55"/>
      <c r="BB66" s="11"/>
      <c r="BC66" s="55"/>
      <c r="BD66" s="11"/>
      <c r="BE66" s="55"/>
      <c r="BF66" s="11"/>
      <c r="BG66" s="37"/>
    </row>
    <row r="67" spans="1:59" x14ac:dyDescent="0.25">
      <c r="A67" s="56"/>
      <c r="B67" s="17" t="s">
        <v>27</v>
      </c>
      <c r="C67" s="85">
        <v>42722</v>
      </c>
      <c r="D67" s="85"/>
      <c r="E67" s="19">
        <v>32</v>
      </c>
      <c r="F67" s="42">
        <v>30.72</v>
      </c>
      <c r="G67" s="21">
        <v>0.20347222222222219</v>
      </c>
      <c r="H67" s="22">
        <v>0.20625000000000002</v>
      </c>
      <c r="I67" s="160">
        <v>143</v>
      </c>
      <c r="J67" s="156">
        <v>143</v>
      </c>
      <c r="K67" s="259">
        <v>0.10576388888888888</v>
      </c>
      <c r="L67" s="18"/>
      <c r="M67" s="20"/>
      <c r="N67" s="18"/>
      <c r="O67" s="20"/>
      <c r="P67" s="160"/>
      <c r="Q67" s="156"/>
      <c r="R67" s="18"/>
      <c r="S67" s="224"/>
      <c r="T67" s="84"/>
      <c r="U67" s="31"/>
      <c r="V67" s="42"/>
      <c r="W67" s="18"/>
      <c r="X67" s="20"/>
      <c r="Y67" s="160"/>
      <c r="Z67" s="156"/>
      <c r="AA67" s="265"/>
      <c r="AB67" s="18"/>
      <c r="AC67" s="18"/>
      <c r="AD67" s="20"/>
      <c r="AE67" s="160"/>
      <c r="AF67" s="156"/>
      <c r="AG67" s="265"/>
      <c r="AH67" s="20">
        <f t="shared" si="0"/>
        <v>30.72</v>
      </c>
      <c r="AI67" s="88">
        <f t="shared" si="1"/>
        <v>32</v>
      </c>
      <c r="AJ67" s="34">
        <f t="shared" si="2"/>
        <v>-1.2800000000000011</v>
      </c>
      <c r="AK67" s="58">
        <f t="shared" si="3"/>
        <v>0.10576388888888888</v>
      </c>
      <c r="AL67" s="57">
        <f>SUM(AH62:AH67)</f>
        <v>104.97</v>
      </c>
      <c r="AM67" s="21">
        <f>SUM(AK62:AK67)</f>
        <v>0.35240740740740739</v>
      </c>
      <c r="AN67" s="19"/>
      <c r="AO67" s="36"/>
      <c r="AP67" s="18"/>
      <c r="AQ67" s="36"/>
      <c r="AR67" s="18"/>
      <c r="AS67" s="36"/>
      <c r="AT67" s="18"/>
      <c r="AU67" s="36"/>
      <c r="AV67" s="18"/>
      <c r="AW67" s="36"/>
      <c r="AX67" s="18"/>
      <c r="AY67" s="36"/>
      <c r="AZ67" s="18"/>
      <c r="BA67" s="36"/>
      <c r="BB67" s="18"/>
      <c r="BC67" s="36"/>
      <c r="BD67" s="18"/>
      <c r="BE67" s="36"/>
      <c r="BF67" s="18"/>
      <c r="BG67" s="38"/>
    </row>
    <row r="68" spans="1:59" x14ac:dyDescent="0.25">
      <c r="A68" s="10"/>
      <c r="B68" s="1" t="s">
        <v>0</v>
      </c>
      <c r="C68" s="81">
        <v>42723</v>
      </c>
      <c r="D68" s="81"/>
      <c r="E68" s="3">
        <v>10</v>
      </c>
      <c r="F68" s="54"/>
      <c r="G68" s="2"/>
      <c r="H68" s="52"/>
      <c r="I68" s="159">
        <v>129</v>
      </c>
      <c r="J68" s="157"/>
      <c r="K68" s="258"/>
      <c r="L68" s="11"/>
      <c r="M68" s="50"/>
      <c r="N68" s="11"/>
      <c r="O68" s="50"/>
      <c r="P68" s="161"/>
      <c r="Q68" s="157"/>
      <c r="R68" s="11"/>
      <c r="S68" s="223"/>
      <c r="T68" s="26"/>
      <c r="U68" s="53"/>
      <c r="V68" s="54"/>
      <c r="W68" s="11"/>
      <c r="X68" s="50"/>
      <c r="Y68" s="161"/>
      <c r="Z68" s="157"/>
      <c r="AA68" s="263"/>
      <c r="AB68" s="11"/>
      <c r="AC68" s="11"/>
      <c r="AD68" s="50"/>
      <c r="AE68" s="161"/>
      <c r="AF68" s="157"/>
      <c r="AG68" s="263"/>
      <c r="AH68" s="13">
        <f t="shared" si="0"/>
        <v>0</v>
      </c>
      <c r="AI68" s="87">
        <f t="shared" si="1"/>
        <v>10</v>
      </c>
      <c r="AJ68" s="27">
        <f t="shared" si="2"/>
        <v>-10</v>
      </c>
      <c r="AK68" s="63">
        <f t="shared" si="3"/>
        <v>0</v>
      </c>
      <c r="AL68" s="59"/>
      <c r="AM68" s="51"/>
      <c r="AN68" s="3"/>
      <c r="AO68" s="9">
        <f>$AN$2-AN68</f>
        <v>80.7</v>
      </c>
      <c r="AQ68" s="9">
        <f>$AP$2-AP68</f>
        <v>92</v>
      </c>
      <c r="AS68" s="9">
        <f>$AR$2-AR68</f>
        <v>95</v>
      </c>
      <c r="AU68" s="9">
        <f>$AT$2-AT68</f>
        <v>98</v>
      </c>
      <c r="AV68"/>
      <c r="AW68" s="9">
        <f>$AV$2-AV68</f>
        <v>58</v>
      </c>
      <c r="AY68" s="9">
        <f>$AX$2-AX68</f>
        <v>58</v>
      </c>
      <c r="AZ68"/>
      <c r="BA68" s="9">
        <f>$AZ$2-AZ68</f>
        <v>41</v>
      </c>
      <c r="BB68"/>
      <c r="BC68" s="9">
        <f>$BB$2-BB68</f>
        <v>41</v>
      </c>
      <c r="BD68"/>
      <c r="BE68" s="9">
        <f>$BD$2-BD68</f>
        <v>30</v>
      </c>
      <c r="BG68" s="37">
        <f>$BF$2-BF68</f>
        <v>30</v>
      </c>
    </row>
    <row r="69" spans="1:59" x14ac:dyDescent="0.25">
      <c r="A69" s="10"/>
      <c r="B69" s="1" t="s">
        <v>24</v>
      </c>
      <c r="C69" s="81">
        <v>42724</v>
      </c>
      <c r="D69" s="81"/>
      <c r="E69" s="3">
        <v>10</v>
      </c>
      <c r="F69" s="54"/>
      <c r="G69" s="2"/>
      <c r="H69" s="52"/>
      <c r="I69" s="159">
        <v>129</v>
      </c>
      <c r="J69" s="157"/>
      <c r="K69" s="258"/>
      <c r="L69" s="11"/>
      <c r="M69" s="50"/>
      <c r="N69" s="51"/>
      <c r="O69" s="52"/>
      <c r="P69" s="161"/>
      <c r="Q69" s="157"/>
      <c r="R69" s="26"/>
      <c r="S69" s="223"/>
      <c r="T69" s="26"/>
      <c r="U69" s="53"/>
      <c r="V69" s="54"/>
      <c r="W69" s="11"/>
      <c r="X69" s="50"/>
      <c r="Y69" s="161"/>
      <c r="Z69" s="157"/>
      <c r="AA69" s="263"/>
      <c r="AB69" s="11"/>
      <c r="AC69" s="51"/>
      <c r="AD69" s="52"/>
      <c r="AE69" s="161"/>
      <c r="AF69" s="157"/>
      <c r="AG69" s="233"/>
      <c r="AH69" s="13">
        <f t="shared" si="0"/>
        <v>0</v>
      </c>
      <c r="AI69" s="87">
        <f t="shared" si="1"/>
        <v>10</v>
      </c>
      <c r="AJ69" s="27">
        <f t="shared" si="2"/>
        <v>-10</v>
      </c>
      <c r="AK69" s="63">
        <f t="shared" si="3"/>
        <v>0</v>
      </c>
      <c r="AL69" s="59"/>
      <c r="AM69" s="51"/>
      <c r="AN69" s="3"/>
      <c r="AV69"/>
      <c r="AZ69"/>
      <c r="BB69"/>
      <c r="BD69"/>
      <c r="BG69" s="37"/>
    </row>
    <row r="70" spans="1:59" x14ac:dyDescent="0.25">
      <c r="A70" s="10">
        <v>18</v>
      </c>
      <c r="B70" s="1" t="s">
        <v>15</v>
      </c>
      <c r="C70" s="81">
        <v>42725</v>
      </c>
      <c r="D70" s="81"/>
      <c r="E70" s="3"/>
      <c r="F70" s="54"/>
      <c r="G70" s="51"/>
      <c r="H70" s="52"/>
      <c r="I70" s="161"/>
      <c r="J70" s="157"/>
      <c r="K70" s="258"/>
      <c r="L70" s="11">
        <v>3</v>
      </c>
      <c r="M70" s="50"/>
      <c r="N70" s="2"/>
      <c r="O70" s="52"/>
      <c r="P70" s="161">
        <v>143</v>
      </c>
      <c r="Q70" s="157"/>
      <c r="R70" s="26"/>
      <c r="S70" s="223"/>
      <c r="T70" s="26"/>
      <c r="U70" s="53"/>
      <c r="V70" s="54"/>
      <c r="W70" s="51"/>
      <c r="X70" s="52"/>
      <c r="Y70" s="161"/>
      <c r="Z70" s="157"/>
      <c r="AA70" s="233"/>
      <c r="AB70" s="11">
        <v>10</v>
      </c>
      <c r="AC70" s="11"/>
      <c r="AD70" s="50"/>
      <c r="AE70" s="161">
        <v>184</v>
      </c>
      <c r="AF70" s="157"/>
      <c r="AG70" s="263"/>
      <c r="AH70" s="13">
        <f t="shared" si="0"/>
        <v>10</v>
      </c>
      <c r="AI70" s="87">
        <f t="shared" si="1"/>
        <v>13</v>
      </c>
      <c r="AJ70" s="27">
        <f t="shared" si="2"/>
        <v>-3</v>
      </c>
      <c r="AK70" s="63">
        <f t="shared" si="3"/>
        <v>0</v>
      </c>
      <c r="AL70" s="59"/>
      <c r="AM70" s="51"/>
      <c r="AN70" s="3"/>
      <c r="AO70" s="55"/>
      <c r="AP70" s="11"/>
      <c r="AQ70" s="55"/>
      <c r="AR70" s="11"/>
      <c r="AS70" s="55"/>
      <c r="AT70" s="11"/>
      <c r="AU70" s="55"/>
      <c r="AV70" s="11"/>
      <c r="AW70" s="55"/>
      <c r="AX70" s="11"/>
      <c r="AY70" s="55"/>
      <c r="AZ70" s="11"/>
      <c r="BA70" s="55"/>
      <c r="BB70" s="11"/>
      <c r="BC70" s="55"/>
      <c r="BD70" s="11"/>
      <c r="BE70" s="55"/>
      <c r="BF70" s="11"/>
      <c r="BG70" s="37"/>
    </row>
    <row r="71" spans="1:59" x14ac:dyDescent="0.25">
      <c r="A71" s="10"/>
      <c r="B71" s="1" t="s">
        <v>26</v>
      </c>
      <c r="C71" s="81"/>
      <c r="D71" s="81"/>
      <c r="E71" s="3">
        <v>10</v>
      </c>
      <c r="F71" s="54"/>
      <c r="G71" s="2">
        <v>0.20347222222222219</v>
      </c>
      <c r="H71" s="52"/>
      <c r="I71" s="161">
        <v>143</v>
      </c>
      <c r="J71" s="157"/>
      <c r="K71" s="258"/>
      <c r="L71" s="11"/>
      <c r="M71" s="50"/>
      <c r="N71" s="2"/>
      <c r="O71" s="52"/>
      <c r="P71" s="161"/>
      <c r="Q71" s="157"/>
      <c r="R71" s="26"/>
      <c r="S71" s="223"/>
      <c r="T71" s="26"/>
      <c r="U71" s="53"/>
      <c r="V71" s="54"/>
      <c r="W71" s="51"/>
      <c r="X71" s="52"/>
      <c r="Y71" s="161"/>
      <c r="Z71" s="157"/>
      <c r="AA71" s="233"/>
      <c r="AB71" s="11"/>
      <c r="AC71" s="11"/>
      <c r="AD71" s="50"/>
      <c r="AE71" s="161"/>
      <c r="AF71" s="157"/>
      <c r="AG71" s="263"/>
      <c r="AH71" s="13">
        <f t="shared" si="0"/>
        <v>0</v>
      </c>
      <c r="AI71" s="87">
        <f t="shared" si="1"/>
        <v>10</v>
      </c>
      <c r="AJ71" s="27">
        <f t="shared" si="2"/>
        <v>-10</v>
      </c>
      <c r="AK71" s="63">
        <f t="shared" si="3"/>
        <v>0</v>
      </c>
      <c r="AL71" s="59"/>
      <c r="AM71" s="51"/>
      <c r="AN71" s="3"/>
      <c r="AO71" s="55"/>
      <c r="AP71" s="11"/>
      <c r="AQ71" s="55"/>
      <c r="AR71" s="11"/>
      <c r="AS71" s="55"/>
      <c r="AT71" s="11"/>
      <c r="AU71" s="55"/>
      <c r="AV71" s="11"/>
      <c r="AW71" s="55"/>
      <c r="AX71" s="11"/>
      <c r="AY71" s="55"/>
      <c r="AZ71" s="11"/>
      <c r="BA71" s="55"/>
      <c r="BB71" s="11"/>
      <c r="BC71" s="55"/>
      <c r="BD71" s="11"/>
      <c r="BE71" s="55"/>
      <c r="BF71" s="11"/>
      <c r="BG71" s="37"/>
    </row>
    <row r="72" spans="1:59" x14ac:dyDescent="0.25">
      <c r="A72" s="10"/>
      <c r="B72" s="1" t="s">
        <v>29</v>
      </c>
      <c r="C72" s="81"/>
      <c r="D72" s="81"/>
      <c r="E72" s="3">
        <v>10</v>
      </c>
      <c r="F72" s="54"/>
      <c r="G72" s="2">
        <v>0.20347222222222219</v>
      </c>
      <c r="H72" s="52"/>
      <c r="I72" s="161">
        <v>143</v>
      </c>
      <c r="J72" s="157"/>
      <c r="K72" s="258"/>
      <c r="L72" s="11"/>
      <c r="M72" s="50"/>
      <c r="N72" s="2"/>
      <c r="O72" s="52"/>
      <c r="P72" s="161"/>
      <c r="Q72" s="157"/>
      <c r="R72" s="26"/>
      <c r="S72" s="223"/>
      <c r="T72" s="26"/>
      <c r="U72" s="53"/>
      <c r="V72" s="54"/>
      <c r="W72" s="51"/>
      <c r="X72" s="52"/>
      <c r="Y72" s="161"/>
      <c r="Z72" s="157"/>
      <c r="AA72" s="233"/>
      <c r="AB72" s="11"/>
      <c r="AC72" s="11"/>
      <c r="AD72" s="50"/>
      <c r="AE72" s="161"/>
      <c r="AF72" s="157"/>
      <c r="AG72" s="263"/>
      <c r="AH72" s="13">
        <f t="shared" si="0"/>
        <v>0</v>
      </c>
      <c r="AI72" s="87">
        <f t="shared" si="1"/>
        <v>10</v>
      </c>
      <c r="AJ72" s="27">
        <f t="shared" si="2"/>
        <v>-10</v>
      </c>
      <c r="AK72" s="63">
        <f t="shared" si="3"/>
        <v>0</v>
      </c>
      <c r="AL72" s="59"/>
      <c r="AM72" s="51"/>
      <c r="AN72" s="3"/>
      <c r="AO72" s="55"/>
      <c r="AP72" s="11"/>
      <c r="AQ72" s="55"/>
      <c r="AR72" s="11"/>
      <c r="AS72" s="55"/>
      <c r="AT72" s="11"/>
      <c r="AU72" s="55"/>
      <c r="AV72" s="11"/>
      <c r="AW72" s="55"/>
      <c r="AX72" s="11"/>
      <c r="AY72" s="55"/>
      <c r="AZ72" s="11"/>
      <c r="BA72" s="55"/>
      <c r="BB72" s="11"/>
      <c r="BC72" s="55"/>
      <c r="BD72" s="11"/>
      <c r="BE72" s="55"/>
      <c r="BF72" s="11"/>
      <c r="BG72" s="37"/>
    </row>
    <row r="73" spans="1:59" x14ac:dyDescent="0.25">
      <c r="A73" s="56"/>
      <c r="B73" s="17" t="s">
        <v>27</v>
      </c>
      <c r="C73" s="85"/>
      <c r="D73" s="85"/>
      <c r="E73" s="19">
        <v>24</v>
      </c>
      <c r="F73" s="42"/>
      <c r="G73" s="21">
        <v>0.20347222222222219</v>
      </c>
      <c r="H73" s="22"/>
      <c r="I73" s="160">
        <v>143</v>
      </c>
      <c r="J73" s="156"/>
      <c r="K73" s="259"/>
      <c r="L73" s="18"/>
      <c r="M73" s="20"/>
      <c r="N73" s="18"/>
      <c r="O73" s="20"/>
      <c r="P73" s="160"/>
      <c r="Q73" s="156"/>
      <c r="R73" s="18"/>
      <c r="S73" s="224"/>
      <c r="T73" s="84"/>
      <c r="U73" s="31"/>
      <c r="V73" s="42"/>
      <c r="W73" s="21"/>
      <c r="X73" s="22"/>
      <c r="Y73" s="160"/>
      <c r="Z73" s="156"/>
      <c r="AA73" s="266"/>
      <c r="AB73" s="18"/>
      <c r="AC73" s="18"/>
      <c r="AD73" s="20"/>
      <c r="AE73" s="160"/>
      <c r="AF73" s="156"/>
      <c r="AG73" s="266"/>
      <c r="AH73" s="20">
        <f t="shared" si="0"/>
        <v>0</v>
      </c>
      <c r="AI73" s="88">
        <f t="shared" si="1"/>
        <v>24</v>
      </c>
      <c r="AJ73" s="34">
        <f t="shared" si="2"/>
        <v>-24</v>
      </c>
      <c r="AK73" s="58">
        <f t="shared" si="3"/>
        <v>0</v>
      </c>
      <c r="AL73" s="57">
        <f>SUM(AH68:AH73)</f>
        <v>10</v>
      </c>
      <c r="AM73" s="21">
        <f>SUM(AK68:AK73)</f>
        <v>0</v>
      </c>
      <c r="AN73" s="19"/>
      <c r="AO73" s="36"/>
      <c r="AP73" s="18"/>
      <c r="AQ73" s="36"/>
      <c r="AR73" s="18"/>
      <c r="AS73" s="36"/>
      <c r="AT73" s="18"/>
      <c r="AU73" s="36"/>
      <c r="AV73" s="18"/>
      <c r="AW73" s="36"/>
      <c r="AX73" s="18"/>
      <c r="AY73" s="36"/>
      <c r="AZ73" s="18"/>
      <c r="BA73" s="36"/>
      <c r="BB73" s="18"/>
      <c r="BC73" s="36"/>
      <c r="BD73" s="18"/>
      <c r="BE73" s="36"/>
      <c r="BF73" s="18"/>
      <c r="BG73" s="38"/>
    </row>
    <row r="74" spans="1:59" x14ac:dyDescent="0.25">
      <c r="A74" s="10"/>
      <c r="B74" s="1" t="s">
        <v>0</v>
      </c>
      <c r="C74" s="81"/>
      <c r="D74" s="81"/>
      <c r="E74" s="3">
        <v>10</v>
      </c>
      <c r="F74" s="54"/>
      <c r="G74" s="2"/>
      <c r="H74" s="52"/>
      <c r="I74" s="159">
        <v>129</v>
      </c>
      <c r="J74" s="157"/>
      <c r="K74" s="258"/>
      <c r="L74" s="11"/>
      <c r="M74" s="50"/>
      <c r="N74" s="51"/>
      <c r="O74" s="52"/>
      <c r="P74" s="161"/>
      <c r="Q74" s="157"/>
      <c r="R74" s="26"/>
      <c r="S74" s="223"/>
      <c r="T74" s="26"/>
      <c r="U74" s="53"/>
      <c r="V74" s="54"/>
      <c r="W74" s="11"/>
      <c r="X74" s="50"/>
      <c r="Y74" s="161"/>
      <c r="Z74" s="157"/>
      <c r="AA74" s="263"/>
      <c r="AB74" s="11"/>
      <c r="AC74" s="11"/>
      <c r="AD74" s="52"/>
      <c r="AE74" s="161"/>
      <c r="AF74" s="157"/>
      <c r="AG74" s="233"/>
      <c r="AH74" s="13">
        <f t="shared" si="0"/>
        <v>0</v>
      </c>
      <c r="AI74" s="87">
        <f t="shared" si="1"/>
        <v>10</v>
      </c>
      <c r="AJ74" s="27">
        <f t="shared" si="2"/>
        <v>-10</v>
      </c>
      <c r="AK74" s="63">
        <f t="shared" si="3"/>
        <v>0</v>
      </c>
      <c r="AL74" s="59"/>
      <c r="AM74" s="51"/>
      <c r="AN74" s="3"/>
      <c r="AO74" s="9">
        <f>$AN$2-AN74</f>
        <v>80.7</v>
      </c>
      <c r="AQ74" s="9">
        <f>$AP$2-AP74</f>
        <v>92</v>
      </c>
      <c r="AS74" s="9">
        <f>$AR$2-AR74</f>
        <v>95</v>
      </c>
      <c r="AU74" s="9">
        <f>$AT$2-AT74</f>
        <v>98</v>
      </c>
      <c r="AV74"/>
      <c r="AW74" s="9">
        <f>$AV$2-AV74</f>
        <v>58</v>
      </c>
      <c r="AY74" s="9">
        <f>$AX$2-AX74</f>
        <v>58</v>
      </c>
      <c r="AZ74"/>
      <c r="BA74" s="9">
        <f>$AZ$2-AZ74</f>
        <v>41</v>
      </c>
      <c r="BB74"/>
      <c r="BC74" s="9">
        <f>$BB$2-BB74</f>
        <v>41</v>
      </c>
      <c r="BD74"/>
      <c r="BE74" s="9">
        <f>$BD$2-BD74</f>
        <v>30</v>
      </c>
      <c r="BG74" s="37">
        <f>$BF$2-BF74</f>
        <v>30</v>
      </c>
    </row>
    <row r="75" spans="1:59" x14ac:dyDescent="0.25">
      <c r="A75" s="10"/>
      <c r="B75" s="1" t="s">
        <v>24</v>
      </c>
      <c r="C75" s="81"/>
      <c r="D75" s="81"/>
      <c r="E75" s="3"/>
      <c r="F75" s="54"/>
      <c r="G75" s="2"/>
      <c r="H75" s="52"/>
      <c r="I75" s="161"/>
      <c r="J75" s="157"/>
      <c r="K75" s="258"/>
      <c r="L75" s="11">
        <v>6</v>
      </c>
      <c r="M75" s="50"/>
      <c r="N75" s="11"/>
      <c r="O75" s="52"/>
      <c r="P75" s="161">
        <v>143</v>
      </c>
      <c r="Q75" s="157"/>
      <c r="R75" s="26"/>
      <c r="S75" s="223"/>
      <c r="T75" s="26"/>
      <c r="U75" s="53"/>
      <c r="V75" s="54"/>
      <c r="W75" s="11"/>
      <c r="X75" s="50"/>
      <c r="Y75" s="161"/>
      <c r="Z75" s="157"/>
      <c r="AA75" s="263"/>
      <c r="AB75" s="11">
        <v>9</v>
      </c>
      <c r="AC75" s="2">
        <v>0.16250000000000001</v>
      </c>
      <c r="AD75" s="52"/>
      <c r="AE75" s="161">
        <v>170</v>
      </c>
      <c r="AF75" s="157"/>
      <c r="AG75" s="233"/>
      <c r="AH75" s="13">
        <f t="shared" si="0"/>
        <v>9</v>
      </c>
      <c r="AI75" s="87">
        <f t="shared" si="1"/>
        <v>15</v>
      </c>
      <c r="AJ75" s="27">
        <f t="shared" si="2"/>
        <v>-6</v>
      </c>
      <c r="AK75" s="63">
        <f t="shared" si="3"/>
        <v>0</v>
      </c>
      <c r="AL75" s="59"/>
      <c r="AM75" s="51"/>
      <c r="AN75" s="3"/>
      <c r="AV75"/>
      <c r="AZ75"/>
      <c r="BB75"/>
      <c r="BD75"/>
      <c r="BG75" s="37"/>
    </row>
    <row r="76" spans="1:59" x14ac:dyDescent="0.25">
      <c r="A76" s="10">
        <v>19</v>
      </c>
      <c r="B76" s="1" t="s">
        <v>15</v>
      </c>
      <c r="C76" s="81"/>
      <c r="D76" s="81"/>
      <c r="E76" s="3">
        <v>10</v>
      </c>
      <c r="F76" s="54"/>
      <c r="G76" s="51"/>
      <c r="H76" s="52"/>
      <c r="I76" s="159">
        <v>129</v>
      </c>
      <c r="J76" s="157"/>
      <c r="K76" s="258"/>
      <c r="L76" s="11"/>
      <c r="M76" s="50"/>
      <c r="N76" s="2"/>
      <c r="O76" s="52"/>
      <c r="P76" s="161"/>
      <c r="Q76" s="157"/>
      <c r="R76" s="26"/>
      <c r="S76" s="223"/>
      <c r="T76" s="26"/>
      <c r="U76" s="53"/>
      <c r="V76" s="54"/>
      <c r="W76" s="51"/>
      <c r="X76" s="52"/>
      <c r="Y76" s="161"/>
      <c r="Z76" s="157"/>
      <c r="AA76" s="233"/>
      <c r="AB76" s="11"/>
      <c r="AC76" s="11"/>
      <c r="AD76" s="52"/>
      <c r="AE76" s="161"/>
      <c r="AF76" s="157"/>
      <c r="AG76" s="263"/>
      <c r="AH76" s="13">
        <f t="shared" si="0"/>
        <v>0</v>
      </c>
      <c r="AI76" s="87">
        <f t="shared" si="1"/>
        <v>10</v>
      </c>
      <c r="AJ76" s="27">
        <f t="shared" si="2"/>
        <v>-10</v>
      </c>
      <c r="AK76" s="63">
        <f t="shared" si="3"/>
        <v>0</v>
      </c>
      <c r="AL76" s="59"/>
      <c r="AM76" s="51"/>
      <c r="AN76" s="3"/>
      <c r="AO76" s="55"/>
      <c r="AP76" s="11"/>
      <c r="AQ76" s="55"/>
      <c r="AR76" s="11"/>
      <c r="AS76" s="55"/>
      <c r="AT76" s="11"/>
      <c r="AU76" s="55"/>
      <c r="AV76" s="11"/>
      <c r="AW76" s="55"/>
      <c r="AX76" s="11"/>
      <c r="AY76" s="55"/>
      <c r="AZ76" s="11"/>
      <c r="BA76" s="55"/>
      <c r="BB76" s="11"/>
      <c r="BC76" s="55"/>
      <c r="BD76" s="11"/>
      <c r="BE76" s="55"/>
      <c r="BF76" s="11"/>
      <c r="BG76" s="37"/>
    </row>
    <row r="77" spans="1:59" x14ac:dyDescent="0.25">
      <c r="A77" s="10"/>
      <c r="B77" s="1" t="s">
        <v>26</v>
      </c>
      <c r="C77" s="81"/>
      <c r="D77" s="81"/>
      <c r="E77" s="3">
        <v>12</v>
      </c>
      <c r="F77" s="54"/>
      <c r="G77" s="2">
        <v>0.20347222222222219</v>
      </c>
      <c r="H77" s="52"/>
      <c r="I77" s="161">
        <v>143</v>
      </c>
      <c r="J77" s="157"/>
      <c r="K77" s="258"/>
      <c r="L77" s="11"/>
      <c r="M77" s="50"/>
      <c r="N77" s="2"/>
      <c r="O77" s="52"/>
      <c r="P77" s="161"/>
      <c r="Q77" s="157"/>
      <c r="R77" s="26"/>
      <c r="S77" s="223"/>
      <c r="T77" s="26"/>
      <c r="U77" s="53"/>
      <c r="V77" s="54"/>
      <c r="W77" s="51"/>
      <c r="X77" s="52"/>
      <c r="Y77" s="161"/>
      <c r="Z77" s="157"/>
      <c r="AA77" s="233"/>
      <c r="AB77" s="11"/>
      <c r="AC77" s="11"/>
      <c r="AD77" s="52"/>
      <c r="AE77" s="161"/>
      <c r="AF77" s="157"/>
      <c r="AG77" s="263"/>
      <c r="AH77" s="13">
        <f t="shared" si="0"/>
        <v>0</v>
      </c>
      <c r="AI77" s="87">
        <f t="shared" si="1"/>
        <v>12</v>
      </c>
      <c r="AJ77" s="27">
        <f t="shared" si="2"/>
        <v>-12</v>
      </c>
      <c r="AK77" s="63">
        <f t="shared" si="3"/>
        <v>0</v>
      </c>
      <c r="AL77" s="59"/>
      <c r="AM77" s="51"/>
      <c r="AN77" s="3"/>
      <c r="AO77" s="55"/>
      <c r="AP77" s="11"/>
      <c r="AQ77" s="55"/>
      <c r="AR77" s="11"/>
      <c r="AS77" s="55"/>
      <c r="AT77" s="11"/>
      <c r="AU77" s="55"/>
      <c r="AV77" s="11"/>
      <c r="AW77" s="55"/>
      <c r="AX77" s="11"/>
      <c r="AY77" s="55"/>
      <c r="AZ77" s="11"/>
      <c r="BA77" s="55"/>
      <c r="BB77" s="11"/>
      <c r="BC77" s="55"/>
      <c r="BD77" s="11"/>
      <c r="BE77" s="55"/>
      <c r="BF77" s="11"/>
      <c r="BG77" s="37"/>
    </row>
    <row r="78" spans="1:59" x14ac:dyDescent="0.25">
      <c r="A78" s="10"/>
      <c r="B78" s="1" t="s">
        <v>29</v>
      </c>
      <c r="C78" s="81"/>
      <c r="D78" s="81"/>
      <c r="E78" s="3">
        <v>17</v>
      </c>
      <c r="F78" s="54"/>
      <c r="G78" s="2">
        <v>0.20347222222222219</v>
      </c>
      <c r="H78" s="52"/>
      <c r="I78" s="161">
        <v>143</v>
      </c>
      <c r="J78" s="157"/>
      <c r="K78" s="258"/>
      <c r="L78" s="11"/>
      <c r="M78" s="50"/>
      <c r="N78" s="2"/>
      <c r="O78" s="52"/>
      <c r="P78" s="161"/>
      <c r="Q78" s="157"/>
      <c r="R78" s="26"/>
      <c r="S78" s="223"/>
      <c r="T78" s="26"/>
      <c r="U78" s="53"/>
      <c r="V78" s="54"/>
      <c r="W78" s="51"/>
      <c r="X78" s="52"/>
      <c r="Y78" s="161"/>
      <c r="Z78" s="157"/>
      <c r="AA78" s="233"/>
      <c r="AB78" s="11">
        <v>4</v>
      </c>
      <c r="AC78" s="51">
        <v>0.1763888888888889</v>
      </c>
      <c r="AD78" s="52"/>
      <c r="AE78" s="161">
        <v>157</v>
      </c>
      <c r="AF78" s="157"/>
      <c r="AG78" s="233"/>
      <c r="AH78" s="13">
        <f t="shared" si="0"/>
        <v>4</v>
      </c>
      <c r="AI78" s="87">
        <f t="shared" si="1"/>
        <v>21</v>
      </c>
      <c r="AJ78" s="27">
        <f t="shared" si="2"/>
        <v>-17</v>
      </c>
      <c r="AK78" s="63">
        <f t="shared" si="3"/>
        <v>0</v>
      </c>
      <c r="AL78" s="59"/>
      <c r="AM78" s="51"/>
      <c r="AN78" s="3"/>
      <c r="AO78" s="55"/>
      <c r="AP78" s="11"/>
      <c r="AQ78" s="55"/>
      <c r="AR78" s="11"/>
      <c r="AS78" s="55"/>
      <c r="AT78" s="11"/>
      <c r="AU78" s="55"/>
      <c r="AV78" s="11"/>
      <c r="AW78" s="55"/>
      <c r="AX78" s="11"/>
      <c r="AY78" s="55"/>
      <c r="AZ78" s="11"/>
      <c r="BA78" s="55"/>
      <c r="BB78" s="11"/>
      <c r="BC78" s="55"/>
      <c r="BD78" s="11"/>
      <c r="BE78" s="55"/>
      <c r="BF78" s="11"/>
      <c r="BG78" s="37"/>
    </row>
    <row r="79" spans="1:59" x14ac:dyDescent="0.25">
      <c r="A79" s="56"/>
      <c r="B79" s="17" t="s">
        <v>27</v>
      </c>
      <c r="C79" s="85"/>
      <c r="D79" s="85"/>
      <c r="E79" s="19">
        <v>27</v>
      </c>
      <c r="F79" s="42"/>
      <c r="G79" s="21">
        <v>0.20347222222222219</v>
      </c>
      <c r="H79" s="22"/>
      <c r="I79" s="160">
        <v>143</v>
      </c>
      <c r="J79" s="156"/>
      <c r="K79" s="259"/>
      <c r="L79" s="18"/>
      <c r="M79" s="20"/>
      <c r="N79" s="18"/>
      <c r="O79" s="20"/>
      <c r="P79" s="160"/>
      <c r="Q79" s="156"/>
      <c r="R79" s="18"/>
      <c r="S79" s="224"/>
      <c r="T79" s="84"/>
      <c r="U79" s="31"/>
      <c r="V79" s="42"/>
      <c r="W79" s="21"/>
      <c r="X79" s="22"/>
      <c r="Y79" s="160"/>
      <c r="Z79" s="156"/>
      <c r="AA79" s="265"/>
      <c r="AB79" s="18">
        <v>5</v>
      </c>
      <c r="AC79" s="21">
        <v>0.1763888888888889</v>
      </c>
      <c r="AD79" s="22"/>
      <c r="AE79" s="160">
        <v>157</v>
      </c>
      <c r="AF79" s="156"/>
      <c r="AG79" s="266"/>
      <c r="AH79" s="20">
        <f t="shared" ref="AH79:AH95" si="4">F79+M79+V79+AB79+S79</f>
        <v>5</v>
      </c>
      <c r="AI79" s="88">
        <f t="shared" ref="AI79:AI96" si="5">E79+L79+V79+AB79+S79</f>
        <v>32</v>
      </c>
      <c r="AJ79" s="34">
        <f t="shared" si="2"/>
        <v>-27</v>
      </c>
      <c r="AK79" s="58">
        <f t="shared" ref="AK79:AK96" si="6">K79+R79+AA79+AG79+T79</f>
        <v>0</v>
      </c>
      <c r="AL79" s="57">
        <f>SUM(AH74:AH79)</f>
        <v>18</v>
      </c>
      <c r="AM79" s="21">
        <f>SUM(AK74:AK79)</f>
        <v>0</v>
      </c>
      <c r="AN79" s="19"/>
      <c r="AO79" s="36"/>
      <c r="AP79" s="18"/>
      <c r="AQ79" s="36"/>
      <c r="AR79" s="18"/>
      <c r="AS79" s="36"/>
      <c r="AT79" s="18"/>
      <c r="AU79" s="36"/>
      <c r="AV79" s="18"/>
      <c r="AW79" s="36"/>
      <c r="AX79" s="18"/>
      <c r="AY79" s="36"/>
      <c r="AZ79" s="18"/>
      <c r="BA79" s="36"/>
      <c r="BB79" s="18"/>
      <c r="BC79" s="36"/>
      <c r="BD79" s="18"/>
      <c r="BE79" s="36"/>
      <c r="BF79" s="18"/>
      <c r="BG79" s="38"/>
    </row>
    <row r="80" spans="1:59" x14ac:dyDescent="0.25">
      <c r="A80" s="10"/>
      <c r="B80" s="1" t="s">
        <v>0</v>
      </c>
      <c r="C80" s="81"/>
      <c r="D80" s="81"/>
      <c r="E80" s="3">
        <v>10</v>
      </c>
      <c r="F80" s="54"/>
      <c r="G80" s="2"/>
      <c r="H80" s="52"/>
      <c r="I80" s="159">
        <v>129</v>
      </c>
      <c r="J80" s="157"/>
      <c r="K80" s="258"/>
      <c r="L80" s="11"/>
      <c r="M80" s="50"/>
      <c r="N80" s="11"/>
      <c r="O80" s="50"/>
      <c r="P80" s="161"/>
      <c r="Q80" s="157"/>
      <c r="R80" s="11"/>
      <c r="S80" s="223"/>
      <c r="T80" s="26"/>
      <c r="U80" s="53"/>
      <c r="V80" s="54"/>
      <c r="W80" s="51"/>
      <c r="X80" s="52"/>
      <c r="Y80" s="161"/>
      <c r="Z80" s="157"/>
      <c r="AA80" s="233"/>
      <c r="AB80" s="11"/>
      <c r="AC80" s="11"/>
      <c r="AD80" s="50"/>
      <c r="AE80" s="161"/>
      <c r="AF80" s="157"/>
      <c r="AG80" s="263"/>
      <c r="AH80" s="188">
        <f t="shared" si="4"/>
        <v>0</v>
      </c>
      <c r="AI80" s="87">
        <f t="shared" si="5"/>
        <v>10</v>
      </c>
      <c r="AJ80" s="27">
        <f t="shared" si="2"/>
        <v>-10</v>
      </c>
      <c r="AK80" s="63">
        <f t="shared" si="6"/>
        <v>0</v>
      </c>
      <c r="AL80" s="59"/>
      <c r="AM80" s="51"/>
      <c r="AN80" s="3"/>
      <c r="AO80" s="9">
        <f>$AN$2-AN80</f>
        <v>80.7</v>
      </c>
      <c r="AQ80" s="9">
        <f>$AP$2-AP80</f>
        <v>92</v>
      </c>
      <c r="AS80" s="9">
        <f>$AR$2-AR80</f>
        <v>95</v>
      </c>
      <c r="AU80" s="9">
        <f>$AT$2-AT80</f>
        <v>98</v>
      </c>
      <c r="AV80"/>
      <c r="AW80" s="9">
        <f>$AV$2-AV80</f>
        <v>58</v>
      </c>
      <c r="AY80" s="9">
        <f>$AX$2-AX80</f>
        <v>58</v>
      </c>
      <c r="AZ80"/>
      <c r="BA80" s="9">
        <f>$AZ$2-AZ80</f>
        <v>41</v>
      </c>
      <c r="BB80"/>
      <c r="BC80" s="9">
        <f>$BB$2-BB80</f>
        <v>41</v>
      </c>
      <c r="BD80"/>
      <c r="BE80" s="9">
        <f>$BD$2-BD80</f>
        <v>30</v>
      </c>
      <c r="BG80" s="37">
        <f>$BF$2-BF80</f>
        <v>30</v>
      </c>
    </row>
    <row r="81" spans="1:59" x14ac:dyDescent="0.25">
      <c r="A81" s="10"/>
      <c r="B81" s="1" t="s">
        <v>24</v>
      </c>
      <c r="C81" s="81"/>
      <c r="D81" s="81"/>
      <c r="E81" s="3"/>
      <c r="F81" s="54"/>
      <c r="G81" s="2"/>
      <c r="H81" s="52"/>
      <c r="I81" s="161"/>
      <c r="J81" s="157"/>
      <c r="K81" s="258"/>
      <c r="L81" s="11">
        <v>4</v>
      </c>
      <c r="M81" s="50"/>
      <c r="N81" s="11"/>
      <c r="O81" s="50"/>
      <c r="P81" s="161">
        <v>143</v>
      </c>
      <c r="Q81" s="157"/>
      <c r="R81" s="26"/>
      <c r="S81" s="223"/>
      <c r="T81" s="26"/>
      <c r="U81" s="53"/>
      <c r="V81" s="54"/>
      <c r="W81" s="51"/>
      <c r="X81" s="52"/>
      <c r="Y81" s="161"/>
      <c r="Z81" s="157"/>
      <c r="AA81" s="233"/>
      <c r="AB81" s="11">
        <v>9</v>
      </c>
      <c r="AC81" s="51">
        <v>0.1763888888888889</v>
      </c>
      <c r="AD81" s="52"/>
      <c r="AE81" s="161">
        <v>157</v>
      </c>
      <c r="AF81" s="157"/>
      <c r="AG81" s="233"/>
      <c r="AH81" s="50">
        <f t="shared" si="4"/>
        <v>9</v>
      </c>
      <c r="AI81" s="87">
        <f t="shared" si="5"/>
        <v>13</v>
      </c>
      <c r="AJ81" s="27">
        <f t="shared" si="2"/>
        <v>-4</v>
      </c>
      <c r="AK81" s="63">
        <f t="shared" si="6"/>
        <v>0</v>
      </c>
      <c r="AL81" s="59"/>
      <c r="AM81" s="51"/>
      <c r="AN81" s="3"/>
      <c r="AV81"/>
      <c r="AZ81"/>
      <c r="BB81"/>
      <c r="BD81"/>
      <c r="BG81" s="37"/>
    </row>
    <row r="82" spans="1:59" x14ac:dyDescent="0.25">
      <c r="A82" s="10">
        <v>20</v>
      </c>
      <c r="B82" s="1" t="s">
        <v>15</v>
      </c>
      <c r="C82" s="81"/>
      <c r="D82" s="81"/>
      <c r="E82" s="3">
        <v>10</v>
      </c>
      <c r="F82" s="54"/>
      <c r="G82" s="51"/>
      <c r="H82" s="52"/>
      <c r="I82" s="159">
        <v>129</v>
      </c>
      <c r="J82" s="157"/>
      <c r="K82" s="258"/>
      <c r="L82" s="11"/>
      <c r="M82" s="50"/>
      <c r="N82" s="2"/>
      <c r="O82" s="52"/>
      <c r="P82" s="161"/>
      <c r="Q82" s="157"/>
      <c r="R82" s="26"/>
      <c r="S82" s="223"/>
      <c r="T82" s="26"/>
      <c r="U82" s="53"/>
      <c r="V82" s="54"/>
      <c r="W82" s="51"/>
      <c r="X82" s="52"/>
      <c r="Y82" s="161"/>
      <c r="Z82" s="157"/>
      <c r="AA82" s="233"/>
      <c r="AB82" s="11"/>
      <c r="AC82" s="11"/>
      <c r="AD82" s="50"/>
      <c r="AE82" s="161"/>
      <c r="AF82" s="157"/>
      <c r="AG82" s="263"/>
      <c r="AH82" s="50">
        <f t="shared" si="4"/>
        <v>0</v>
      </c>
      <c r="AI82" s="87">
        <f t="shared" si="5"/>
        <v>10</v>
      </c>
      <c r="AJ82" s="27">
        <f t="shared" si="2"/>
        <v>-10</v>
      </c>
      <c r="AK82" s="63">
        <f t="shared" si="6"/>
        <v>0</v>
      </c>
      <c r="AL82" s="59"/>
      <c r="AM82" s="51"/>
      <c r="AN82" s="3"/>
      <c r="AO82" s="55"/>
      <c r="AP82" s="11"/>
      <c r="AQ82" s="55"/>
      <c r="AR82" s="11"/>
      <c r="AS82" s="55"/>
      <c r="AT82" s="11"/>
      <c r="AU82" s="55"/>
      <c r="AV82" s="11"/>
      <c r="AW82" s="55"/>
      <c r="AX82" s="11"/>
      <c r="AY82" s="55"/>
      <c r="AZ82" s="11"/>
      <c r="BA82" s="55"/>
      <c r="BB82" s="11"/>
      <c r="BC82" s="55"/>
      <c r="BD82" s="11"/>
      <c r="BE82" s="55"/>
      <c r="BF82" s="11"/>
      <c r="BG82" s="37"/>
    </row>
    <row r="83" spans="1:59" x14ac:dyDescent="0.25">
      <c r="A83" s="10"/>
      <c r="B83" s="1" t="s">
        <v>26</v>
      </c>
      <c r="C83" s="81"/>
      <c r="D83" s="81"/>
      <c r="E83" s="3">
        <v>10</v>
      </c>
      <c r="F83" s="54"/>
      <c r="G83" s="2">
        <v>0.20347222222222219</v>
      </c>
      <c r="H83" s="52"/>
      <c r="I83" s="161">
        <v>143</v>
      </c>
      <c r="J83" s="157"/>
      <c r="K83" s="258"/>
      <c r="L83" s="11"/>
      <c r="M83" s="50"/>
      <c r="N83" s="2"/>
      <c r="O83" s="52"/>
      <c r="P83" s="161"/>
      <c r="Q83" s="157"/>
      <c r="R83" s="26"/>
      <c r="S83" s="223"/>
      <c r="T83" s="26"/>
      <c r="U83" s="53"/>
      <c r="V83" s="54"/>
      <c r="W83" s="51"/>
      <c r="X83" s="52"/>
      <c r="Y83" s="161"/>
      <c r="Z83" s="157"/>
      <c r="AA83" s="233"/>
      <c r="AB83" s="11"/>
      <c r="AC83" s="11"/>
      <c r="AD83" s="50"/>
      <c r="AE83" s="161"/>
      <c r="AF83" s="157"/>
      <c r="AG83" s="263"/>
      <c r="AH83" s="13">
        <f t="shared" si="4"/>
        <v>0</v>
      </c>
      <c r="AI83" s="87">
        <f t="shared" si="5"/>
        <v>10</v>
      </c>
      <c r="AJ83" s="27">
        <f t="shared" si="2"/>
        <v>-10</v>
      </c>
      <c r="AK83" s="63">
        <f t="shared" si="6"/>
        <v>0</v>
      </c>
      <c r="AL83" s="59"/>
      <c r="AM83" s="51"/>
      <c r="AN83" s="3"/>
      <c r="AO83" s="55"/>
      <c r="AP83" s="11"/>
      <c r="AQ83" s="55"/>
      <c r="AR83" s="11"/>
      <c r="AS83" s="55"/>
      <c r="AT83" s="11"/>
      <c r="AU83" s="55"/>
      <c r="AV83" s="11"/>
      <c r="AW83" s="55"/>
      <c r="AX83" s="11"/>
      <c r="AY83" s="55"/>
      <c r="AZ83" s="11"/>
      <c r="BA83" s="55"/>
      <c r="BB83" s="11"/>
      <c r="BC83" s="55"/>
      <c r="BD83" s="11"/>
      <c r="BE83" s="55"/>
      <c r="BF83" s="11"/>
      <c r="BG83" s="37"/>
    </row>
    <row r="84" spans="1:59" x14ac:dyDescent="0.25">
      <c r="A84" s="10"/>
      <c r="B84" s="1" t="s">
        <v>29</v>
      </c>
      <c r="C84" s="81"/>
      <c r="D84" s="81"/>
      <c r="E84" s="3">
        <v>10</v>
      </c>
      <c r="F84" s="54"/>
      <c r="G84" s="2">
        <v>0.20347222222222219</v>
      </c>
      <c r="H84" s="52"/>
      <c r="I84" s="161">
        <v>143</v>
      </c>
      <c r="J84" s="157"/>
      <c r="K84" s="258"/>
      <c r="L84" s="11"/>
      <c r="M84" s="50"/>
      <c r="N84" s="2"/>
      <c r="O84" s="52"/>
      <c r="P84" s="161"/>
      <c r="Q84" s="157"/>
      <c r="R84" s="26"/>
      <c r="S84" s="223"/>
      <c r="T84" s="26"/>
      <c r="U84" s="53"/>
      <c r="V84" s="54"/>
      <c r="W84" s="51"/>
      <c r="X84" s="52"/>
      <c r="Y84" s="161"/>
      <c r="Z84" s="157"/>
      <c r="AA84" s="233"/>
      <c r="AB84" s="11">
        <v>6</v>
      </c>
      <c r="AC84" s="51">
        <v>0.1763888888888889</v>
      </c>
      <c r="AD84" s="52"/>
      <c r="AE84" s="161">
        <v>157</v>
      </c>
      <c r="AF84" s="157"/>
      <c r="AG84" s="233"/>
      <c r="AH84" s="50">
        <f t="shared" si="4"/>
        <v>6</v>
      </c>
      <c r="AI84" s="87">
        <f t="shared" si="5"/>
        <v>16</v>
      </c>
      <c r="AJ84" s="27">
        <f t="shared" si="2"/>
        <v>-10</v>
      </c>
      <c r="AK84" s="63">
        <f t="shared" si="6"/>
        <v>0</v>
      </c>
      <c r="AL84" s="59"/>
      <c r="AM84" s="51"/>
      <c r="AN84" s="3"/>
      <c r="AO84" s="55"/>
      <c r="AP84" s="11"/>
      <c r="AQ84" s="55"/>
      <c r="AR84" s="11"/>
      <c r="AS84" s="55"/>
      <c r="AT84" s="11"/>
      <c r="AU84" s="55"/>
      <c r="AV84" s="11"/>
      <c r="AW84" s="55"/>
      <c r="AX84" s="11"/>
      <c r="AY84" s="55"/>
      <c r="AZ84" s="11"/>
      <c r="BA84" s="55"/>
      <c r="BB84" s="11"/>
      <c r="BC84" s="55"/>
      <c r="BD84" s="11"/>
      <c r="BE84" s="55"/>
      <c r="BF84" s="11"/>
      <c r="BG84" s="37"/>
    </row>
    <row r="85" spans="1:59" x14ac:dyDescent="0.25">
      <c r="A85" s="56"/>
      <c r="B85" s="17" t="s">
        <v>27</v>
      </c>
      <c r="C85" s="85"/>
      <c r="D85" s="85"/>
      <c r="E85" s="19">
        <v>16</v>
      </c>
      <c r="F85" s="42"/>
      <c r="G85" s="21">
        <v>0.20347222222222219</v>
      </c>
      <c r="H85" s="22"/>
      <c r="I85" s="160">
        <v>143</v>
      </c>
      <c r="J85" s="156"/>
      <c r="K85" s="259"/>
      <c r="L85" s="18"/>
      <c r="M85" s="20"/>
      <c r="N85" s="18"/>
      <c r="O85" s="20"/>
      <c r="P85" s="160"/>
      <c r="Q85" s="156"/>
      <c r="R85" s="18"/>
      <c r="S85" s="224"/>
      <c r="T85" s="84"/>
      <c r="U85" s="31"/>
      <c r="V85" s="42"/>
      <c r="W85" s="18"/>
      <c r="X85" s="20"/>
      <c r="Y85" s="160"/>
      <c r="Z85" s="156"/>
      <c r="AA85" s="265"/>
      <c r="AB85" s="18">
        <v>8</v>
      </c>
      <c r="AC85" s="21">
        <v>0.1763888888888889</v>
      </c>
      <c r="AD85" s="22"/>
      <c r="AE85" s="160">
        <v>157</v>
      </c>
      <c r="AF85" s="156"/>
      <c r="AG85" s="266"/>
      <c r="AH85" s="20">
        <f t="shared" si="4"/>
        <v>8</v>
      </c>
      <c r="AI85" s="88">
        <f t="shared" si="5"/>
        <v>24</v>
      </c>
      <c r="AJ85" s="34">
        <f t="shared" si="2"/>
        <v>-16</v>
      </c>
      <c r="AK85" s="58">
        <f t="shared" si="6"/>
        <v>0</v>
      </c>
      <c r="AL85" s="57">
        <f>SUM(AH80:AH85)</f>
        <v>23</v>
      </c>
      <c r="AM85" s="21">
        <f>SUM(AK80:AK85)</f>
        <v>0</v>
      </c>
      <c r="AN85" s="19"/>
      <c r="AO85" s="36"/>
      <c r="AP85" s="18"/>
      <c r="AQ85" s="36"/>
      <c r="AR85" s="18"/>
      <c r="AS85" s="36"/>
      <c r="AT85" s="18"/>
      <c r="AU85" s="36"/>
      <c r="AV85" s="18"/>
      <c r="AW85" s="36"/>
      <c r="AX85" s="18"/>
      <c r="AY85" s="36"/>
      <c r="AZ85" s="18"/>
      <c r="BA85" s="36"/>
      <c r="BB85" s="18"/>
      <c r="BC85" s="36"/>
      <c r="BD85" s="18"/>
      <c r="BE85" s="36"/>
      <c r="BF85" s="18"/>
      <c r="BG85" s="38"/>
    </row>
    <row r="86" spans="1:59" x14ac:dyDescent="0.25">
      <c r="A86" s="10"/>
      <c r="B86" s="1" t="s">
        <v>0</v>
      </c>
      <c r="C86" s="81"/>
      <c r="D86" s="81"/>
      <c r="E86" s="3">
        <v>10</v>
      </c>
      <c r="F86" s="54"/>
      <c r="G86" s="51"/>
      <c r="H86" s="52"/>
      <c r="I86" s="159">
        <v>143</v>
      </c>
      <c r="J86" s="157"/>
      <c r="K86" s="258"/>
      <c r="L86" s="11"/>
      <c r="M86" s="50"/>
      <c r="N86" s="11"/>
      <c r="O86" s="50"/>
      <c r="P86" s="161"/>
      <c r="Q86" s="157"/>
      <c r="R86" s="11"/>
      <c r="S86" s="223"/>
      <c r="T86" s="26"/>
      <c r="U86" s="53"/>
      <c r="V86" s="54"/>
      <c r="W86" s="11"/>
      <c r="X86" s="50"/>
      <c r="Y86" s="161"/>
      <c r="Z86" s="157"/>
      <c r="AA86" s="263"/>
      <c r="AB86" s="11"/>
      <c r="AC86" s="11"/>
      <c r="AD86" s="50"/>
      <c r="AE86" s="161"/>
      <c r="AF86" s="157"/>
      <c r="AG86" s="263"/>
      <c r="AH86" s="188">
        <f t="shared" si="4"/>
        <v>0</v>
      </c>
      <c r="AI86" s="87">
        <f t="shared" si="5"/>
        <v>10</v>
      </c>
      <c r="AJ86" s="27">
        <f t="shared" si="2"/>
        <v>-10</v>
      </c>
      <c r="AK86" s="63">
        <f t="shared" si="6"/>
        <v>0</v>
      </c>
      <c r="AL86" s="59"/>
      <c r="AM86" s="51"/>
      <c r="AN86" s="3"/>
      <c r="AO86" s="9">
        <f>$AN$2-AN86</f>
        <v>80.7</v>
      </c>
      <c r="AQ86" s="9">
        <f>$AP$2-AP86</f>
        <v>92</v>
      </c>
      <c r="AS86" s="9">
        <f>$AR$2-AR86</f>
        <v>95</v>
      </c>
      <c r="AU86" s="9">
        <f>$AT$2-AT86</f>
        <v>98</v>
      </c>
      <c r="AV86"/>
      <c r="AW86" s="9">
        <f>$AV$2-AV86</f>
        <v>58</v>
      </c>
      <c r="AY86" s="9">
        <f>$AX$2-AX86</f>
        <v>58</v>
      </c>
      <c r="AZ86"/>
      <c r="BA86" s="9">
        <f>$AZ$2-AZ86</f>
        <v>41</v>
      </c>
      <c r="BB86"/>
      <c r="BC86" s="9">
        <f>$BB$2-BB86</f>
        <v>41</v>
      </c>
      <c r="BD86"/>
      <c r="BE86" s="9">
        <f>$BD$2-BD86</f>
        <v>30</v>
      </c>
      <c r="BG86" s="37">
        <f>$BF$2-BF86</f>
        <v>30</v>
      </c>
    </row>
    <row r="87" spans="1:59" x14ac:dyDescent="0.25">
      <c r="A87" s="10"/>
      <c r="B87" s="1" t="s">
        <v>24</v>
      </c>
      <c r="C87" s="81"/>
      <c r="D87" s="81"/>
      <c r="E87" s="3"/>
      <c r="F87" s="54"/>
      <c r="G87" s="51"/>
      <c r="H87" s="52"/>
      <c r="I87" s="161"/>
      <c r="J87" s="157"/>
      <c r="K87" s="258"/>
      <c r="L87" s="11">
        <v>4</v>
      </c>
      <c r="M87" s="50"/>
      <c r="N87" s="11"/>
      <c r="O87" s="52"/>
      <c r="P87" s="161">
        <v>143</v>
      </c>
      <c r="Q87" s="157"/>
      <c r="R87" s="26"/>
      <c r="S87" s="223"/>
      <c r="T87" s="26"/>
      <c r="U87" s="53"/>
      <c r="V87" s="54"/>
      <c r="W87" s="51"/>
      <c r="X87" s="52"/>
      <c r="Y87" s="161"/>
      <c r="Z87" s="157"/>
      <c r="AA87" s="233"/>
      <c r="AB87" s="11">
        <v>7</v>
      </c>
      <c r="AC87" s="51">
        <v>0.1763888888888889</v>
      </c>
      <c r="AD87" s="52"/>
      <c r="AE87" s="161">
        <v>157</v>
      </c>
      <c r="AF87" s="157"/>
      <c r="AG87" s="233"/>
      <c r="AH87" s="50">
        <f t="shared" si="4"/>
        <v>7</v>
      </c>
      <c r="AI87" s="87">
        <f t="shared" si="5"/>
        <v>11</v>
      </c>
      <c r="AJ87" s="27">
        <f t="shared" si="2"/>
        <v>-4</v>
      </c>
      <c r="AK87" s="63">
        <f t="shared" si="6"/>
        <v>0</v>
      </c>
      <c r="AL87" s="59"/>
      <c r="AM87" s="51"/>
      <c r="AN87" s="3"/>
      <c r="AO87" s="55"/>
      <c r="AP87" s="11"/>
      <c r="AQ87" s="55"/>
      <c r="AR87" s="11"/>
      <c r="AS87" s="55"/>
      <c r="AT87" s="11"/>
      <c r="AU87" s="55"/>
      <c r="AV87" s="11"/>
      <c r="AW87" s="55"/>
      <c r="AX87" s="11"/>
      <c r="AY87" s="55"/>
      <c r="AZ87" s="11"/>
      <c r="BA87" s="55"/>
      <c r="BB87" s="11"/>
      <c r="BC87" s="55"/>
      <c r="BD87" s="11"/>
      <c r="BE87" s="55"/>
      <c r="BF87" s="11"/>
      <c r="BG87" s="37"/>
    </row>
    <row r="88" spans="1:59" x14ac:dyDescent="0.25">
      <c r="A88" s="10">
        <v>21</v>
      </c>
      <c r="B88" s="1" t="s">
        <v>15</v>
      </c>
      <c r="C88" s="81"/>
      <c r="D88" s="81"/>
      <c r="E88" s="3">
        <v>10</v>
      </c>
      <c r="F88" s="54"/>
      <c r="G88" s="51"/>
      <c r="H88" s="52"/>
      <c r="I88" s="161">
        <v>129</v>
      </c>
      <c r="J88" s="157"/>
      <c r="K88" s="258"/>
      <c r="L88" s="11"/>
      <c r="M88" s="50"/>
      <c r="N88" s="11"/>
      <c r="O88" s="50"/>
      <c r="P88" s="161"/>
      <c r="Q88" s="157"/>
      <c r="R88" s="11"/>
      <c r="S88" s="223"/>
      <c r="T88" s="26"/>
      <c r="U88" s="53"/>
      <c r="V88" s="54"/>
      <c r="W88" s="11"/>
      <c r="X88" s="50"/>
      <c r="Y88" s="161"/>
      <c r="Z88" s="157"/>
      <c r="AA88" s="263"/>
      <c r="AB88" s="27"/>
      <c r="AC88" s="51"/>
      <c r="AD88" s="52"/>
      <c r="AE88" s="161"/>
      <c r="AF88" s="157"/>
      <c r="AG88" s="233"/>
      <c r="AH88" s="50">
        <f t="shared" si="4"/>
        <v>0</v>
      </c>
      <c r="AI88" s="87">
        <f t="shared" si="5"/>
        <v>10</v>
      </c>
      <c r="AJ88" s="27">
        <f t="shared" si="2"/>
        <v>-10</v>
      </c>
      <c r="AK88" s="63">
        <f t="shared" si="6"/>
        <v>0</v>
      </c>
      <c r="AL88" s="59"/>
      <c r="AM88" s="51"/>
      <c r="AN88" s="3"/>
      <c r="AO88" s="55"/>
      <c r="AP88" s="11"/>
      <c r="AQ88" s="55"/>
      <c r="AR88" s="11"/>
      <c r="AS88" s="55"/>
      <c r="AT88" s="11"/>
      <c r="AU88" s="55"/>
      <c r="AV88" s="11"/>
      <c r="AW88" s="55"/>
      <c r="AX88" s="11"/>
      <c r="AY88" s="55"/>
      <c r="AZ88" s="11"/>
      <c r="BA88" s="55"/>
      <c r="BB88" s="11"/>
      <c r="BC88" s="55"/>
      <c r="BD88" s="11"/>
      <c r="BE88" s="55"/>
      <c r="BF88" s="11"/>
      <c r="BG88" s="37"/>
    </row>
    <row r="89" spans="1:59" x14ac:dyDescent="0.25">
      <c r="A89" s="10"/>
      <c r="B89" s="1" t="s">
        <v>26</v>
      </c>
      <c r="C89" s="81"/>
      <c r="D89" s="81"/>
      <c r="E89" s="3">
        <v>6</v>
      </c>
      <c r="F89" s="54"/>
      <c r="G89" s="2">
        <v>0.20347222222222219</v>
      </c>
      <c r="H89" s="52"/>
      <c r="I89" s="161">
        <v>143</v>
      </c>
      <c r="J89" s="157"/>
      <c r="K89" s="258"/>
      <c r="L89" s="11"/>
      <c r="M89" s="50"/>
      <c r="N89" s="11"/>
      <c r="O89" s="50"/>
      <c r="P89" s="161"/>
      <c r="Q89" s="157"/>
      <c r="R89" s="11"/>
      <c r="S89" s="223"/>
      <c r="T89" s="26"/>
      <c r="U89" s="53"/>
      <c r="V89" s="54"/>
      <c r="W89" s="11"/>
      <c r="X89" s="50"/>
      <c r="Y89" s="161"/>
      <c r="Z89" s="157"/>
      <c r="AA89" s="263"/>
      <c r="AB89" s="11">
        <v>4</v>
      </c>
      <c r="AC89" s="51">
        <v>0.1763888888888889</v>
      </c>
      <c r="AD89" s="52"/>
      <c r="AE89" s="161">
        <v>157</v>
      </c>
      <c r="AF89" s="157"/>
      <c r="AG89" s="233"/>
      <c r="AH89" s="13">
        <f t="shared" si="4"/>
        <v>4</v>
      </c>
      <c r="AI89" s="87">
        <f t="shared" si="5"/>
        <v>10</v>
      </c>
      <c r="AJ89" s="27">
        <f t="shared" si="2"/>
        <v>-6</v>
      </c>
      <c r="AK89" s="63">
        <f t="shared" si="6"/>
        <v>0</v>
      </c>
      <c r="AL89" s="59"/>
      <c r="AM89" s="51"/>
      <c r="AN89" s="3"/>
      <c r="AO89" s="55"/>
      <c r="AP89" s="11"/>
      <c r="AQ89" s="55"/>
      <c r="AR89" s="11"/>
      <c r="AS89" s="55"/>
      <c r="AT89" s="11"/>
      <c r="AU89" s="55"/>
      <c r="AV89" s="11"/>
      <c r="AW89" s="55"/>
      <c r="AX89" s="11"/>
      <c r="AY89" s="55"/>
      <c r="AZ89" s="11"/>
      <c r="BA89" s="55"/>
      <c r="BB89" s="11"/>
      <c r="BC89" s="55"/>
      <c r="BD89" s="11"/>
      <c r="BE89" s="55"/>
      <c r="BF89" s="11"/>
      <c r="BG89" s="37"/>
    </row>
    <row r="90" spans="1:59" x14ac:dyDescent="0.25">
      <c r="A90" s="10"/>
      <c r="B90" s="1" t="s">
        <v>29</v>
      </c>
      <c r="C90" s="81"/>
      <c r="D90" s="81"/>
      <c r="E90" s="3"/>
      <c r="F90" s="54"/>
      <c r="G90" s="51"/>
      <c r="H90" s="52"/>
      <c r="I90" s="161"/>
      <c r="J90" s="157"/>
      <c r="K90" s="258"/>
      <c r="L90" s="11">
        <v>4</v>
      </c>
      <c r="M90" s="50"/>
      <c r="N90" s="11"/>
      <c r="O90" s="52"/>
      <c r="P90" s="161">
        <v>143</v>
      </c>
      <c r="Q90" s="157"/>
      <c r="R90" s="26"/>
      <c r="S90" s="223"/>
      <c r="T90" s="26"/>
      <c r="U90" s="53" t="s">
        <v>166</v>
      </c>
      <c r="V90" s="54"/>
      <c r="W90" s="2">
        <v>0.14930555555555555</v>
      </c>
      <c r="X90" s="52"/>
      <c r="Y90" s="161">
        <v>185</v>
      </c>
      <c r="Z90" s="157"/>
      <c r="AA90" s="233"/>
      <c r="AB90" s="11"/>
      <c r="AC90" s="11"/>
      <c r="AD90" s="50"/>
      <c r="AE90" s="161"/>
      <c r="AF90" s="157"/>
      <c r="AG90" s="263"/>
      <c r="AH90" s="50">
        <f t="shared" si="4"/>
        <v>0</v>
      </c>
      <c r="AI90" s="87">
        <f t="shared" si="5"/>
        <v>4</v>
      </c>
      <c r="AJ90" s="27">
        <f t="shared" si="2"/>
        <v>-4</v>
      </c>
      <c r="AK90" s="63">
        <f t="shared" si="6"/>
        <v>0</v>
      </c>
      <c r="AL90" s="59"/>
      <c r="AM90" s="51"/>
      <c r="AN90" s="3"/>
      <c r="AO90" s="55"/>
      <c r="AP90" s="11"/>
      <c r="AQ90" s="55"/>
      <c r="AR90" s="11"/>
      <c r="AS90" s="55"/>
      <c r="AT90" s="11"/>
      <c r="AU90" s="55"/>
      <c r="AV90" s="11"/>
      <c r="AW90" s="55"/>
      <c r="AX90" s="11"/>
      <c r="AY90" s="55"/>
      <c r="AZ90" s="11"/>
      <c r="BA90" s="55"/>
      <c r="BB90" s="11"/>
      <c r="BC90" s="55"/>
      <c r="BD90" s="11"/>
      <c r="BE90" s="55"/>
      <c r="BF90" s="11"/>
      <c r="BG90" s="37"/>
    </row>
    <row r="91" spans="1:59" x14ac:dyDescent="0.25">
      <c r="A91" s="56"/>
      <c r="B91" s="17" t="s">
        <v>27</v>
      </c>
      <c r="C91" s="85"/>
      <c r="D91" s="85"/>
      <c r="E91" s="19">
        <v>12</v>
      </c>
      <c r="F91" s="42"/>
      <c r="G91" s="21">
        <v>0.20347222222222219</v>
      </c>
      <c r="H91" s="22"/>
      <c r="I91" s="160">
        <v>143</v>
      </c>
      <c r="J91" s="156"/>
      <c r="K91" s="259"/>
      <c r="L91" s="18"/>
      <c r="M91" s="20"/>
      <c r="N91" s="18"/>
      <c r="O91" s="20"/>
      <c r="P91" s="160"/>
      <c r="Q91" s="156"/>
      <c r="R91" s="18"/>
      <c r="S91" s="224"/>
      <c r="T91" s="84"/>
      <c r="U91" s="31"/>
      <c r="V91" s="42"/>
      <c r="W91" s="18"/>
      <c r="X91" s="20"/>
      <c r="Y91" s="160"/>
      <c r="Z91" s="156"/>
      <c r="AA91" s="265"/>
      <c r="AB91" s="18">
        <v>6</v>
      </c>
      <c r="AC91" s="21">
        <v>0.1763888888888889</v>
      </c>
      <c r="AD91" s="20"/>
      <c r="AE91" s="160">
        <v>157</v>
      </c>
      <c r="AF91" s="156"/>
      <c r="AG91" s="265"/>
      <c r="AH91" s="20">
        <f t="shared" si="4"/>
        <v>6</v>
      </c>
      <c r="AI91" s="88">
        <f t="shared" si="5"/>
        <v>18</v>
      </c>
      <c r="AJ91" s="34">
        <f t="shared" si="2"/>
        <v>-12</v>
      </c>
      <c r="AK91" s="58">
        <f t="shared" si="6"/>
        <v>0</v>
      </c>
      <c r="AL91" s="57">
        <f>SUM(AH86:AH91)</f>
        <v>17</v>
      </c>
      <c r="AM91" s="21">
        <f>SUM(AK86:AK91)</f>
        <v>0</v>
      </c>
      <c r="AN91" s="19"/>
      <c r="AO91" s="36"/>
      <c r="AP91" s="18"/>
      <c r="AQ91" s="36"/>
      <c r="AR91" s="18"/>
      <c r="AS91" s="36"/>
      <c r="AT91" s="18"/>
      <c r="AU91" s="36"/>
      <c r="AV91" s="18"/>
      <c r="AW91" s="36"/>
      <c r="AX91" s="18"/>
      <c r="AY91" s="36"/>
      <c r="AZ91" s="18"/>
      <c r="BA91" s="36"/>
      <c r="BB91" s="18"/>
      <c r="BC91" s="36"/>
      <c r="BD91" s="18"/>
      <c r="BE91" s="36"/>
      <c r="BF91" s="18"/>
      <c r="BG91" s="38"/>
    </row>
    <row r="92" spans="1:59" x14ac:dyDescent="0.25">
      <c r="A92" s="10"/>
      <c r="B92" s="1" t="s">
        <v>0</v>
      </c>
      <c r="C92" s="81"/>
      <c r="D92" s="81"/>
      <c r="E92" s="3">
        <v>8</v>
      </c>
      <c r="F92" s="54"/>
      <c r="G92" s="51"/>
      <c r="H92" s="52"/>
      <c r="I92" s="161">
        <v>129</v>
      </c>
      <c r="J92" s="157"/>
      <c r="K92" s="258"/>
      <c r="L92" s="11"/>
      <c r="M92" s="50"/>
      <c r="N92" s="11"/>
      <c r="O92" s="50"/>
      <c r="P92" s="161"/>
      <c r="Q92" s="157"/>
      <c r="R92" s="11"/>
      <c r="S92" s="223"/>
      <c r="T92" s="26"/>
      <c r="U92" s="53"/>
      <c r="V92" s="54"/>
      <c r="W92" s="11"/>
      <c r="X92" s="50"/>
      <c r="Y92" s="161"/>
      <c r="Z92" s="157"/>
      <c r="AA92" s="263"/>
      <c r="AB92" s="11"/>
      <c r="AC92" s="11"/>
      <c r="AD92" s="50"/>
      <c r="AE92" s="161"/>
      <c r="AF92" s="157"/>
      <c r="AG92" s="263"/>
      <c r="AH92" s="188">
        <f t="shared" si="4"/>
        <v>0</v>
      </c>
      <c r="AI92" s="87">
        <f t="shared" si="5"/>
        <v>8</v>
      </c>
      <c r="AJ92" s="27">
        <f t="shared" si="2"/>
        <v>-8</v>
      </c>
      <c r="AK92" s="63">
        <f t="shared" si="6"/>
        <v>0</v>
      </c>
      <c r="AL92" s="59"/>
      <c r="AM92" s="51"/>
      <c r="AN92" s="3"/>
      <c r="AO92" s="9">
        <f>$AN$2-AN93</f>
        <v>80.7</v>
      </c>
      <c r="AQ92" s="9">
        <f>$AP$2-AP92</f>
        <v>92</v>
      </c>
      <c r="AS92" s="9">
        <f>$AR$2-AR92</f>
        <v>95</v>
      </c>
      <c r="AU92" s="9">
        <f>$AT$2-AT92</f>
        <v>98</v>
      </c>
      <c r="AV92"/>
      <c r="AW92" s="9">
        <f>$AV$2-AV92</f>
        <v>58</v>
      </c>
      <c r="AY92" s="9">
        <f>$AX$2-AX92</f>
        <v>58</v>
      </c>
      <c r="AZ92"/>
      <c r="BA92" s="9">
        <f>$AZ$2-AZ92</f>
        <v>41</v>
      </c>
      <c r="BB92"/>
      <c r="BC92" s="9">
        <f>$BB$2-BB92</f>
        <v>41</v>
      </c>
      <c r="BD92"/>
      <c r="BE92" s="9">
        <f>$BD$2-BD92</f>
        <v>30</v>
      </c>
      <c r="BG92" s="37">
        <f>$BF$2-BF92</f>
        <v>30</v>
      </c>
    </row>
    <row r="93" spans="1:59" x14ac:dyDescent="0.25">
      <c r="A93" s="10"/>
      <c r="B93" s="1" t="s">
        <v>24</v>
      </c>
      <c r="C93" s="81"/>
      <c r="D93" s="81"/>
      <c r="E93" s="3">
        <v>6</v>
      </c>
      <c r="F93" s="54"/>
      <c r="G93" s="2">
        <v>0.20347222222222219</v>
      </c>
      <c r="H93" s="52"/>
      <c r="I93" s="161">
        <v>143</v>
      </c>
      <c r="J93" s="157"/>
      <c r="K93" s="258"/>
      <c r="L93" s="11"/>
      <c r="M93" s="50"/>
      <c r="N93" s="11"/>
      <c r="O93" s="50"/>
      <c r="P93" s="161"/>
      <c r="Q93" s="157"/>
      <c r="R93" s="11"/>
      <c r="S93" s="223"/>
      <c r="T93" s="26"/>
      <c r="U93" s="53"/>
      <c r="V93" s="54"/>
      <c r="W93" s="11"/>
      <c r="X93" s="50"/>
      <c r="Y93" s="161"/>
      <c r="Z93" s="157"/>
      <c r="AA93" s="263"/>
      <c r="AB93" s="11">
        <v>4</v>
      </c>
      <c r="AC93" s="51">
        <v>0.1763888888888889</v>
      </c>
      <c r="AD93" s="50"/>
      <c r="AE93" s="161">
        <v>157</v>
      </c>
      <c r="AF93" s="157"/>
      <c r="AG93" s="263"/>
      <c r="AH93" s="50">
        <f t="shared" si="4"/>
        <v>4</v>
      </c>
      <c r="AI93" s="87">
        <f t="shared" si="5"/>
        <v>10</v>
      </c>
      <c r="AJ93" s="27">
        <f t="shared" si="2"/>
        <v>-6</v>
      </c>
      <c r="AK93" s="63">
        <f t="shared" si="6"/>
        <v>0</v>
      </c>
      <c r="AL93" s="59"/>
      <c r="AM93" s="51"/>
      <c r="AN93" s="3"/>
      <c r="AZ93"/>
      <c r="BB93"/>
      <c r="BD93"/>
      <c r="BG93" s="37"/>
    </row>
    <row r="94" spans="1:59" x14ac:dyDescent="0.25">
      <c r="A94" s="10">
        <v>22</v>
      </c>
      <c r="B94" s="1" t="s">
        <v>26</v>
      </c>
      <c r="C94" s="81"/>
      <c r="D94" s="81"/>
      <c r="E94" s="3">
        <v>10</v>
      </c>
      <c r="F94" s="54"/>
      <c r="G94" s="2">
        <v>0.20347222222222219</v>
      </c>
      <c r="H94" s="52"/>
      <c r="I94" s="161">
        <v>143</v>
      </c>
      <c r="J94" s="157"/>
      <c r="K94" s="258"/>
      <c r="L94" s="11"/>
      <c r="M94" s="50"/>
      <c r="N94" s="11"/>
      <c r="O94" s="50"/>
      <c r="P94" s="161"/>
      <c r="Q94" s="157"/>
      <c r="R94" s="11"/>
      <c r="S94" s="223"/>
      <c r="T94" s="26"/>
      <c r="U94" s="53"/>
      <c r="V94" s="54"/>
      <c r="W94" s="11"/>
      <c r="X94" s="50"/>
      <c r="Y94" s="161"/>
      <c r="Z94" s="157"/>
      <c r="AA94" s="263"/>
      <c r="AB94" s="11"/>
      <c r="AC94" s="11"/>
      <c r="AD94" s="50"/>
      <c r="AE94" s="161"/>
      <c r="AF94" s="157"/>
      <c r="AG94" s="263"/>
      <c r="AH94" s="50">
        <f t="shared" si="4"/>
        <v>0</v>
      </c>
      <c r="AI94" s="87">
        <f t="shared" si="5"/>
        <v>10</v>
      </c>
      <c r="AJ94" s="27">
        <f t="shared" si="2"/>
        <v>-10</v>
      </c>
      <c r="AK94" s="63">
        <f t="shared" si="6"/>
        <v>0</v>
      </c>
      <c r="AL94" s="59"/>
      <c r="AM94" s="51"/>
      <c r="AN94" s="3"/>
      <c r="AZ94"/>
      <c r="BB94"/>
      <c r="BD94"/>
      <c r="BG94" s="37"/>
    </row>
    <row r="95" spans="1:59" x14ac:dyDescent="0.25">
      <c r="B95" s="17" t="s">
        <v>18</v>
      </c>
      <c r="C95" s="81"/>
      <c r="D95" s="81"/>
      <c r="E95" s="3">
        <v>10</v>
      </c>
      <c r="F95" s="54"/>
      <c r="G95" s="21">
        <v>0.20347222222222219</v>
      </c>
      <c r="H95" s="52"/>
      <c r="I95" s="161">
        <v>143</v>
      </c>
      <c r="J95" s="157"/>
      <c r="K95" s="258"/>
      <c r="L95" s="11"/>
      <c r="M95" s="50"/>
      <c r="N95" s="2"/>
      <c r="O95" s="52"/>
      <c r="P95" s="161"/>
      <c r="Q95" s="157"/>
      <c r="R95" s="26"/>
      <c r="S95" s="223"/>
      <c r="T95" s="26"/>
      <c r="U95" s="53"/>
      <c r="V95" s="54"/>
      <c r="W95" s="11"/>
      <c r="X95" s="64"/>
      <c r="Y95" s="161"/>
      <c r="Z95" s="157"/>
      <c r="AA95" s="233"/>
      <c r="AB95" s="11"/>
      <c r="AC95" s="11"/>
      <c r="AD95" s="50"/>
      <c r="AE95" s="161"/>
      <c r="AF95" s="157"/>
      <c r="AG95" s="50"/>
      <c r="AH95" s="61">
        <f t="shared" si="4"/>
        <v>0</v>
      </c>
      <c r="AI95" s="88">
        <f t="shared" si="5"/>
        <v>10</v>
      </c>
      <c r="AJ95" s="27">
        <f t="shared" si="2"/>
        <v>-10</v>
      </c>
      <c r="AK95" s="58">
        <f t="shared" si="6"/>
        <v>0</v>
      </c>
      <c r="AL95" s="59"/>
      <c r="AM95" s="51"/>
      <c r="AN95" s="3"/>
      <c r="AO95" s="55"/>
      <c r="AP95" s="11"/>
      <c r="AQ95" s="55"/>
      <c r="AR95" s="11"/>
      <c r="AS95" s="55"/>
      <c r="AT95" s="11"/>
      <c r="AU95" s="55"/>
      <c r="AV95" s="11"/>
      <c r="AW95" s="55"/>
      <c r="AX95" s="11"/>
      <c r="AY95" s="55"/>
      <c r="AZ95" s="11"/>
      <c r="BA95" s="55"/>
      <c r="BB95" s="11"/>
      <c r="BC95" s="55"/>
      <c r="BD95" s="11"/>
      <c r="BE95" s="55"/>
      <c r="BF95" s="11"/>
      <c r="BG95" s="37"/>
    </row>
    <row r="96" spans="1:59" x14ac:dyDescent="0.25">
      <c r="A96" s="65"/>
      <c r="B96" s="17" t="s">
        <v>27</v>
      </c>
      <c r="C96" s="86"/>
      <c r="D96" s="86" t="s">
        <v>290</v>
      </c>
      <c r="E96" s="68"/>
      <c r="F96" s="72"/>
      <c r="G96" s="70"/>
      <c r="H96" s="69"/>
      <c r="I96" s="162"/>
      <c r="J96" s="158"/>
      <c r="K96" s="260"/>
      <c r="L96" s="70"/>
      <c r="M96" s="69"/>
      <c r="N96" s="70"/>
      <c r="O96" s="69"/>
      <c r="P96" s="162"/>
      <c r="Q96" s="158"/>
      <c r="R96" s="70"/>
      <c r="S96" s="268"/>
      <c r="T96" s="83"/>
      <c r="U96" s="71"/>
      <c r="V96" s="72"/>
      <c r="W96" s="70"/>
      <c r="X96" s="69"/>
      <c r="Y96" s="162"/>
      <c r="Z96" s="158"/>
      <c r="AA96" s="267"/>
      <c r="AB96" s="70">
        <v>42.195</v>
      </c>
      <c r="AC96" s="177">
        <v>0.1763888888888889</v>
      </c>
      <c r="AD96" s="79"/>
      <c r="AE96" s="162"/>
      <c r="AF96" s="158"/>
      <c r="AG96" s="270"/>
      <c r="AH96" s="75">
        <f>AB96</f>
        <v>42.195</v>
      </c>
      <c r="AI96" s="154">
        <f t="shared" si="5"/>
        <v>42.195</v>
      </c>
      <c r="AJ96" s="67">
        <f>AH96-AI96</f>
        <v>0</v>
      </c>
      <c r="AK96" s="153">
        <f t="shared" si="6"/>
        <v>0</v>
      </c>
      <c r="AL96" s="68"/>
      <c r="AM96" s="76"/>
      <c r="AN96" s="70"/>
      <c r="AO96" s="73">
        <f>$AN$2-AN96</f>
        <v>80.7</v>
      </c>
      <c r="AP96" s="70"/>
      <c r="AQ96" s="73"/>
      <c r="AR96" s="70"/>
      <c r="AS96" s="73"/>
      <c r="AT96" s="70"/>
      <c r="AU96" s="73"/>
      <c r="AV96" s="70"/>
      <c r="AW96" s="73"/>
      <c r="AX96" s="70"/>
      <c r="AY96" s="73"/>
      <c r="AZ96" s="70"/>
      <c r="BA96" s="73"/>
      <c r="BB96" s="70"/>
      <c r="BC96" s="73"/>
      <c r="BD96" s="70"/>
      <c r="BE96" s="73"/>
      <c r="BF96" s="70"/>
      <c r="BG96" s="74"/>
    </row>
    <row r="97" spans="1:58" x14ac:dyDescent="0.25">
      <c r="A97" s="6"/>
      <c r="I97" s="159"/>
      <c r="J97" s="147"/>
      <c r="P97" s="159"/>
      <c r="Q97" s="147"/>
      <c r="Y97" s="159"/>
      <c r="Z97" s="147"/>
      <c r="AE97" s="159"/>
      <c r="AF97" s="147"/>
      <c r="AZ97"/>
      <c r="BB97"/>
      <c r="BD97"/>
    </row>
    <row r="98" spans="1:58" x14ac:dyDescent="0.25">
      <c r="A98" s="6"/>
      <c r="I98" s="159"/>
      <c r="J98" s="147"/>
      <c r="P98" s="159"/>
      <c r="Q98" s="147"/>
      <c r="Y98" s="159"/>
      <c r="Z98" s="147"/>
      <c r="AE98" s="159"/>
      <c r="AF98" s="147"/>
      <c r="AH98" s="13">
        <f>SUM(AH2:AH97)</f>
        <v>917.20499999999993</v>
      </c>
      <c r="AI98" s="13">
        <f>SUM(AI2:AI97)</f>
        <v>1336.9949999999999</v>
      </c>
      <c r="AJ98" s="13">
        <f>AH98-AI98</f>
        <v>-419.78999999999996</v>
      </c>
      <c r="AK98" s="14">
        <f>SUM(AK2:AK97)</f>
        <v>2.6626504629629624</v>
      </c>
      <c r="AL98" s="35">
        <f>SUM(AL2:AL95)</f>
        <v>871.0100000000001</v>
      </c>
      <c r="AM98" s="21">
        <f>SUM(AM2:AM97)</f>
        <v>3.4898495370370366</v>
      </c>
      <c r="AZ98"/>
      <c r="BB98"/>
      <c r="BD98"/>
    </row>
    <row r="99" spans="1:58" x14ac:dyDescent="0.25">
      <c r="A99" s="6"/>
      <c r="E99">
        <f>SUM(E2:E95)</f>
        <v>1055</v>
      </c>
      <c r="F99" s="46">
        <f>SUM(F2:F95)</f>
        <v>675.42</v>
      </c>
      <c r="I99" s="159"/>
      <c r="J99" s="147"/>
      <c r="L99">
        <f>SUM(L2:L95)</f>
        <v>86</v>
      </c>
      <c r="M99">
        <f>SUM(M2:M95)</f>
        <v>54.790000000000006</v>
      </c>
      <c r="P99" s="159"/>
      <c r="Q99" s="147"/>
      <c r="V99">
        <f>SUM(V2:V95)</f>
        <v>21.36</v>
      </c>
      <c r="Y99" s="159"/>
      <c r="Z99" s="147"/>
      <c r="AB99">
        <f>SUM(AB2:AB95)</f>
        <v>114</v>
      </c>
      <c r="AD99"/>
      <c r="AE99" s="159"/>
      <c r="AF99" s="147"/>
      <c r="AH99" s="41"/>
      <c r="AZ99"/>
      <c r="BB99"/>
      <c r="BD99"/>
    </row>
    <row r="100" spans="1:58" x14ac:dyDescent="0.25">
      <c r="A100" s="6"/>
      <c r="I100" s="159"/>
      <c r="J100" s="147"/>
      <c r="P100" s="159"/>
      <c r="Q100" s="147"/>
      <c r="Y100" s="159"/>
      <c r="Z100" s="147"/>
      <c r="AE100" s="159"/>
      <c r="AF100" s="147"/>
      <c r="AH100" s="41"/>
      <c r="AZ100"/>
      <c r="BB100"/>
      <c r="BD100"/>
    </row>
    <row r="101" spans="1:58" x14ac:dyDescent="0.25">
      <c r="A101" s="6"/>
      <c r="I101" s="159"/>
      <c r="J101" s="147"/>
      <c r="P101" s="159"/>
      <c r="Q101" s="147"/>
      <c r="Y101" s="159"/>
      <c r="Z101" s="147"/>
      <c r="AE101" s="159"/>
      <c r="AF101" s="147"/>
      <c r="AZ101"/>
      <c r="BB101"/>
      <c r="BD101"/>
    </row>
    <row r="102" spans="1:58" x14ac:dyDescent="0.25">
      <c r="I102" s="112"/>
      <c r="P102" s="112"/>
      <c r="Y102" s="112"/>
      <c r="AE102" s="112"/>
      <c r="AZ102"/>
      <c r="BB102"/>
      <c r="BD102"/>
    </row>
    <row r="103" spans="1:58" x14ac:dyDescent="0.25">
      <c r="I103" s="112"/>
      <c r="P103" s="112"/>
      <c r="Y103" s="112"/>
      <c r="AE103" s="112"/>
      <c r="AZ103"/>
      <c r="BB103"/>
      <c r="BD103"/>
    </row>
    <row r="104" spans="1:58" x14ac:dyDescent="0.25">
      <c r="I104" s="112"/>
      <c r="P104" s="112"/>
      <c r="Y104" s="112"/>
      <c r="AE104" s="112"/>
      <c r="AZ104"/>
      <c r="BB104"/>
      <c r="BD104"/>
    </row>
    <row r="105" spans="1:58" x14ac:dyDescent="0.25">
      <c r="I105" s="112"/>
      <c r="P105" s="112"/>
      <c r="Y105" s="112"/>
      <c r="AE105" s="112"/>
      <c r="AZ105"/>
      <c r="BB105"/>
      <c r="BD105"/>
    </row>
    <row r="106" spans="1:58" x14ac:dyDescent="0.25">
      <c r="I106" s="112"/>
      <c r="P106" s="112"/>
      <c r="Y106" s="112"/>
      <c r="AE106" s="112"/>
      <c r="AZ106"/>
      <c r="BB106"/>
      <c r="BD106"/>
    </row>
    <row r="107" spans="1:58" x14ac:dyDescent="0.25">
      <c r="I107" s="112"/>
      <c r="P107" s="112"/>
      <c r="Y107" s="112"/>
      <c r="AE107" s="112"/>
      <c r="AZ107"/>
      <c r="BB107"/>
      <c r="BD107"/>
    </row>
    <row r="108" spans="1:58" x14ac:dyDescent="0.25">
      <c r="I108" s="112"/>
      <c r="P108" s="112"/>
      <c r="Y108" s="112"/>
      <c r="AE108" s="112"/>
      <c r="AZ108"/>
      <c r="BB108"/>
      <c r="BD108"/>
    </row>
    <row r="109" spans="1:58" x14ac:dyDescent="0.25">
      <c r="I109" s="112"/>
      <c r="P109" s="112"/>
      <c r="Y109" s="112"/>
      <c r="AE109" s="112"/>
      <c r="AZ109"/>
      <c r="BB109"/>
      <c r="BD109"/>
    </row>
    <row r="110" spans="1:58" x14ac:dyDescent="0.25">
      <c r="I110" s="112"/>
      <c r="P110" s="112"/>
      <c r="Y110" s="112"/>
      <c r="AE110" s="112"/>
      <c r="AZ110"/>
      <c r="BB110"/>
      <c r="BD110"/>
    </row>
    <row r="111" spans="1:58" x14ac:dyDescent="0.25">
      <c r="I111" s="112"/>
      <c r="P111" s="112"/>
      <c r="Y111" s="112"/>
      <c r="AE111" s="112"/>
      <c r="AZ111"/>
      <c r="BB111"/>
      <c r="BD111"/>
    </row>
    <row r="112" spans="1:58" s="9" customFormat="1" x14ac:dyDescent="0.25">
      <c r="A112"/>
      <c r="B112"/>
      <c r="C112"/>
      <c r="D112"/>
      <c r="E112"/>
      <c r="F112" s="41"/>
      <c r="G112"/>
      <c r="H112" s="13"/>
      <c r="I112" s="112"/>
      <c r="J112" s="13"/>
      <c r="K112" s="261"/>
      <c r="L112"/>
      <c r="M112" s="13"/>
      <c r="N112"/>
      <c r="O112" s="13"/>
      <c r="P112" s="112"/>
      <c r="Q112" s="13"/>
      <c r="R112"/>
      <c r="S112" s="41"/>
      <c r="T112" s="46"/>
      <c r="U112" s="30"/>
      <c r="V112" s="41"/>
      <c r="W112"/>
      <c r="X112" s="13"/>
      <c r="Y112" s="112"/>
      <c r="Z112" s="13"/>
      <c r="AA112" s="13"/>
      <c r="AB112"/>
      <c r="AC112"/>
      <c r="AD112" s="13"/>
      <c r="AE112" s="112"/>
      <c r="AF112" s="13"/>
      <c r="AG112" s="13"/>
      <c r="AH112" s="13"/>
      <c r="AI112"/>
      <c r="AJ112"/>
      <c r="AK112" s="13"/>
      <c r="AL112" s="13"/>
      <c r="AM112" s="13"/>
      <c r="AN112"/>
      <c r="AP112"/>
      <c r="AR112"/>
      <c r="AT112"/>
      <c r="AX112"/>
      <c r="AZ112"/>
      <c r="BB112"/>
      <c r="BD112"/>
      <c r="BF112"/>
    </row>
    <row r="113" spans="1:59" s="9" customFormat="1" x14ac:dyDescent="0.25">
      <c r="A113"/>
      <c r="B113"/>
      <c r="C113"/>
      <c r="D113"/>
      <c r="E113"/>
      <c r="F113" s="41"/>
      <c r="G113"/>
      <c r="H113" s="13"/>
      <c r="I113" s="112"/>
      <c r="J113" s="13"/>
      <c r="K113" s="261"/>
      <c r="L113"/>
      <c r="M113" s="13"/>
      <c r="N113"/>
      <c r="O113" s="13"/>
      <c r="P113" s="112"/>
      <c r="Q113" s="13"/>
      <c r="R113"/>
      <c r="S113" s="41"/>
      <c r="T113" s="46"/>
      <c r="U113" s="30"/>
      <c r="V113" s="41"/>
      <c r="W113"/>
      <c r="X113" s="13"/>
      <c r="Y113" s="112"/>
      <c r="Z113" s="13"/>
      <c r="AA113" s="13"/>
      <c r="AB113"/>
      <c r="AC113"/>
      <c r="AD113" s="13"/>
      <c r="AE113" s="112"/>
      <c r="AF113" s="13"/>
      <c r="AG113" s="13"/>
      <c r="AH113" s="13"/>
      <c r="AI113"/>
      <c r="AJ113"/>
      <c r="AK113" s="13"/>
      <c r="AL113" s="13"/>
      <c r="AM113" s="13"/>
      <c r="AN113"/>
      <c r="AP113"/>
      <c r="AR113"/>
      <c r="AT113"/>
      <c r="AX113"/>
      <c r="BF113"/>
    </row>
    <row r="114" spans="1:59" s="9" customFormat="1" x14ac:dyDescent="0.25">
      <c r="A114"/>
      <c r="B114"/>
      <c r="C114"/>
      <c r="D114"/>
      <c r="E114"/>
      <c r="F114" s="41"/>
      <c r="G114"/>
      <c r="H114" s="13"/>
      <c r="I114" s="112"/>
      <c r="J114" s="13"/>
      <c r="K114" s="261"/>
      <c r="L114"/>
      <c r="M114" s="13"/>
      <c r="N114"/>
      <c r="O114" s="13"/>
      <c r="P114" s="112"/>
      <c r="Q114" s="13"/>
      <c r="R114"/>
      <c r="S114" s="41"/>
      <c r="T114" s="46"/>
      <c r="U114" s="30"/>
      <c r="V114" s="41"/>
      <c r="W114"/>
      <c r="X114" s="13"/>
      <c r="Y114" s="112"/>
      <c r="Z114" s="13"/>
      <c r="AA114" s="13"/>
      <c r="AB114"/>
      <c r="AC114"/>
      <c r="AD114" s="13"/>
      <c r="AE114" s="112"/>
      <c r="AF114" s="13"/>
      <c r="AG114" s="13"/>
      <c r="AH114" s="13"/>
      <c r="AI114"/>
      <c r="AJ114"/>
      <c r="AK114" s="13"/>
      <c r="AL114" s="13"/>
      <c r="AM114" s="13"/>
      <c r="AN114"/>
      <c r="AP114"/>
      <c r="AR114"/>
      <c r="AT114"/>
      <c r="AX114"/>
      <c r="BF114"/>
    </row>
    <row r="115" spans="1:59" s="9" customFormat="1" x14ac:dyDescent="0.25">
      <c r="A115"/>
      <c r="B115"/>
      <c r="C115"/>
      <c r="D115"/>
      <c r="E115"/>
      <c r="F115" s="41"/>
      <c r="G115"/>
      <c r="H115" s="13"/>
      <c r="I115" s="112"/>
      <c r="J115" s="13"/>
      <c r="K115" s="261"/>
      <c r="L115"/>
      <c r="M115" s="13"/>
      <c r="N115"/>
      <c r="O115" s="13"/>
      <c r="P115" s="112"/>
      <c r="Q115" s="13"/>
      <c r="R115"/>
      <c r="S115" s="41"/>
      <c r="T115" s="46"/>
      <c r="U115" s="30"/>
      <c r="V115" s="41"/>
      <c r="W115"/>
      <c r="X115" s="13"/>
      <c r="Y115" s="112"/>
      <c r="Z115" s="13"/>
      <c r="AA115" s="13"/>
      <c r="AB115"/>
      <c r="AC115"/>
      <c r="AD115" s="13"/>
      <c r="AE115" s="112"/>
      <c r="AF115" s="13"/>
      <c r="AG115" s="13"/>
      <c r="AH115" s="13"/>
      <c r="AI115"/>
      <c r="AJ115"/>
      <c r="AK115" s="13"/>
      <c r="AL115" s="13"/>
      <c r="AM115" s="13"/>
      <c r="AN115"/>
      <c r="AP115"/>
      <c r="AR115"/>
      <c r="AT115"/>
      <c r="AX115"/>
      <c r="BF115"/>
    </row>
    <row r="116" spans="1:59" s="9" customFormat="1" x14ac:dyDescent="0.25">
      <c r="A116"/>
      <c r="B116"/>
      <c r="C116"/>
      <c r="D116"/>
      <c r="E116"/>
      <c r="F116" s="41"/>
      <c r="G116"/>
      <c r="H116" s="13"/>
      <c r="I116" s="112"/>
      <c r="J116" s="13"/>
      <c r="K116" s="261"/>
      <c r="L116"/>
      <c r="M116" s="13"/>
      <c r="N116"/>
      <c r="O116" s="13"/>
      <c r="P116" s="112"/>
      <c r="Q116" s="13"/>
      <c r="R116"/>
      <c r="S116" s="41"/>
      <c r="T116" s="46"/>
      <c r="U116" s="30"/>
      <c r="V116" s="41"/>
      <c r="W116"/>
      <c r="X116" s="13"/>
      <c r="Y116" s="112"/>
      <c r="Z116" s="13"/>
      <c r="AA116" s="13"/>
      <c r="AB116"/>
      <c r="AC116"/>
      <c r="AD116" s="13"/>
      <c r="AE116" s="112"/>
      <c r="AF116" s="13"/>
      <c r="AG116" s="13"/>
      <c r="AH116" s="13"/>
      <c r="AI116"/>
      <c r="AJ116"/>
      <c r="AK116" s="13"/>
      <c r="AL116" s="13"/>
      <c r="AM116" s="13"/>
      <c r="AN116"/>
      <c r="AP116"/>
      <c r="AR116"/>
      <c r="AT116"/>
      <c r="AX116"/>
      <c r="BF116"/>
    </row>
    <row r="117" spans="1:59" s="9" customFormat="1" x14ac:dyDescent="0.25">
      <c r="A117"/>
      <c r="B117"/>
      <c r="C117"/>
      <c r="D117"/>
      <c r="E117"/>
      <c r="F117" s="41"/>
      <c r="G117"/>
      <c r="H117" s="13"/>
      <c r="I117" s="112"/>
      <c r="J117" s="13"/>
      <c r="K117" s="261"/>
      <c r="L117"/>
      <c r="M117" s="13"/>
      <c r="N117"/>
      <c r="O117" s="13"/>
      <c r="P117" s="112"/>
      <c r="Q117" s="13"/>
      <c r="R117"/>
      <c r="S117" s="41"/>
      <c r="T117" s="46"/>
      <c r="U117" s="30"/>
      <c r="V117" s="41"/>
      <c r="W117"/>
      <c r="X117" s="13"/>
      <c r="Y117" s="112"/>
      <c r="Z117" s="13"/>
      <c r="AA117" s="13"/>
      <c r="AB117"/>
      <c r="AC117"/>
      <c r="AD117" s="13"/>
      <c r="AE117" s="112"/>
      <c r="AF117" s="13"/>
      <c r="AG117" s="13"/>
      <c r="AH117" s="13"/>
      <c r="AI117"/>
      <c r="AJ117"/>
      <c r="AK117" s="13"/>
      <c r="AL117" s="13"/>
      <c r="AM117" s="13"/>
      <c r="AN117"/>
      <c r="AP117"/>
      <c r="AR117"/>
      <c r="AT117"/>
      <c r="AX117"/>
      <c r="BF117"/>
    </row>
    <row r="118" spans="1:59" s="9" customFormat="1" x14ac:dyDescent="0.25">
      <c r="A118"/>
      <c r="B118"/>
      <c r="C118"/>
      <c r="D118"/>
      <c r="E118"/>
      <c r="F118" s="41"/>
      <c r="G118"/>
      <c r="H118" s="13"/>
      <c r="I118" s="112"/>
      <c r="J118" s="13"/>
      <c r="K118" s="261"/>
      <c r="L118"/>
      <c r="M118" s="13"/>
      <c r="N118"/>
      <c r="O118" s="13"/>
      <c r="P118" s="112"/>
      <c r="Q118" s="13"/>
      <c r="R118"/>
      <c r="S118" s="41"/>
      <c r="T118" s="46"/>
      <c r="U118" s="30"/>
      <c r="V118" s="41"/>
      <c r="W118"/>
      <c r="X118" s="13"/>
      <c r="Y118" s="112"/>
      <c r="Z118" s="13"/>
      <c r="AA118" s="13"/>
      <c r="AB118"/>
      <c r="AC118"/>
      <c r="AD118" s="13"/>
      <c r="AE118" s="112"/>
      <c r="AF118" s="13"/>
      <c r="AG118" s="13"/>
      <c r="AH118" s="13"/>
      <c r="AI118"/>
      <c r="AJ118"/>
      <c r="AK118" s="13"/>
      <c r="AL118" s="13"/>
      <c r="AM118" s="13"/>
      <c r="AN118"/>
      <c r="AP118"/>
      <c r="AR118"/>
      <c r="AT118"/>
      <c r="AX118"/>
      <c r="BF118"/>
    </row>
    <row r="119" spans="1:59" s="9" customFormat="1" x14ac:dyDescent="0.25">
      <c r="A119"/>
      <c r="B119"/>
      <c r="C119"/>
      <c r="D119"/>
      <c r="E119"/>
      <c r="F119" s="41"/>
      <c r="G119"/>
      <c r="H119" s="13"/>
      <c r="I119" s="112"/>
      <c r="J119" s="13"/>
      <c r="K119" s="261"/>
      <c r="L119"/>
      <c r="M119" s="13"/>
      <c r="N119"/>
      <c r="O119" s="13"/>
      <c r="P119" s="112"/>
      <c r="Q119" s="13"/>
      <c r="R119"/>
      <c r="S119" s="41"/>
      <c r="T119" s="46"/>
      <c r="U119" s="30"/>
      <c r="V119" s="41"/>
      <c r="W119"/>
      <c r="X119" s="13"/>
      <c r="Y119" s="112"/>
      <c r="Z119" s="13"/>
      <c r="AA119" s="13"/>
      <c r="AB119"/>
      <c r="AC119"/>
      <c r="AD119" s="13"/>
      <c r="AE119" s="112"/>
      <c r="AF119" s="13"/>
      <c r="AG119" s="13"/>
      <c r="AH119" s="13"/>
      <c r="AI119"/>
      <c r="AJ119"/>
      <c r="AK119" s="13"/>
      <c r="AL119" s="13"/>
      <c r="AM119" s="13"/>
      <c r="AN119"/>
      <c r="AP119"/>
      <c r="AR119"/>
      <c r="AT119"/>
      <c r="AX119"/>
      <c r="BF119"/>
    </row>
    <row r="120" spans="1:59" s="9" customFormat="1" x14ac:dyDescent="0.25">
      <c r="A120"/>
      <c r="B120"/>
      <c r="C120"/>
      <c r="D120"/>
      <c r="E120"/>
      <c r="F120" s="41"/>
      <c r="G120"/>
      <c r="H120" s="13"/>
      <c r="I120" s="112"/>
      <c r="J120" s="13"/>
      <c r="K120" s="261"/>
      <c r="L120"/>
      <c r="M120" s="13"/>
      <c r="N120"/>
      <c r="O120" s="13"/>
      <c r="P120" s="112"/>
      <c r="Q120" s="13"/>
      <c r="R120"/>
      <c r="S120" s="41"/>
      <c r="T120" s="46"/>
      <c r="U120" s="30"/>
      <c r="V120" s="41"/>
      <c r="W120"/>
      <c r="X120" s="13"/>
      <c r="Y120" s="112"/>
      <c r="Z120" s="13"/>
      <c r="AA120" s="13"/>
      <c r="AB120"/>
      <c r="AC120"/>
      <c r="AD120" s="13"/>
      <c r="AE120" s="112"/>
      <c r="AF120" s="13"/>
      <c r="AG120" s="13"/>
      <c r="AH120" s="13"/>
      <c r="AI120"/>
      <c r="AJ120"/>
      <c r="AK120" s="13"/>
      <c r="AL120" s="13"/>
      <c r="AM120" s="13"/>
      <c r="AN120"/>
      <c r="AP120"/>
      <c r="AR120"/>
      <c r="AT120"/>
      <c r="AX120"/>
      <c r="BF120"/>
    </row>
    <row r="121" spans="1:59" s="9" customFormat="1" x14ac:dyDescent="0.25">
      <c r="A121"/>
      <c r="B121"/>
      <c r="C121"/>
      <c r="D121"/>
      <c r="E121"/>
      <c r="F121" s="41"/>
      <c r="G121"/>
      <c r="H121" s="13"/>
      <c r="I121" s="112"/>
      <c r="J121" s="13"/>
      <c r="K121" s="261"/>
      <c r="L121"/>
      <c r="M121" s="13"/>
      <c r="N121"/>
      <c r="O121" s="13"/>
      <c r="P121" s="112"/>
      <c r="Q121" s="13"/>
      <c r="R121"/>
      <c r="S121" s="41"/>
      <c r="T121" s="46"/>
      <c r="U121" s="30"/>
      <c r="V121" s="41"/>
      <c r="W121"/>
      <c r="X121" s="13"/>
      <c r="Y121" s="112"/>
      <c r="Z121" s="13"/>
      <c r="AA121" s="13"/>
      <c r="AB121"/>
      <c r="AC121"/>
      <c r="AD121" s="13"/>
      <c r="AE121" s="112"/>
      <c r="AF121" s="13"/>
      <c r="AG121" s="13"/>
      <c r="AH121" s="13"/>
      <c r="AI121"/>
      <c r="AJ121"/>
      <c r="AK121" s="13"/>
      <c r="AL121" s="13"/>
      <c r="AM121" s="13"/>
      <c r="AN121"/>
      <c r="AP121"/>
      <c r="AR121"/>
      <c r="AT121"/>
      <c r="AX121"/>
      <c r="BF121"/>
    </row>
    <row r="122" spans="1:59" s="9" customFormat="1" x14ac:dyDescent="0.25">
      <c r="A122"/>
      <c r="B122"/>
      <c r="C122"/>
      <c r="D122"/>
      <c r="E122"/>
      <c r="F122" s="41"/>
      <c r="G122"/>
      <c r="H122" s="13"/>
      <c r="I122" s="112"/>
      <c r="J122" s="13"/>
      <c r="K122" s="261"/>
      <c r="L122"/>
      <c r="M122" s="13"/>
      <c r="N122"/>
      <c r="O122" s="13"/>
      <c r="P122" s="112"/>
      <c r="Q122" s="13"/>
      <c r="R122"/>
      <c r="S122" s="41"/>
      <c r="T122" s="46"/>
      <c r="U122" s="30"/>
      <c r="V122" s="41"/>
      <c r="W122"/>
      <c r="X122" s="13"/>
      <c r="Y122" s="112"/>
      <c r="Z122" s="13"/>
      <c r="AA122" s="13"/>
      <c r="AB122"/>
      <c r="AC122"/>
      <c r="AD122" s="13"/>
      <c r="AE122" s="112"/>
      <c r="AF122" s="13"/>
      <c r="AG122" s="13"/>
      <c r="AH122" s="13"/>
      <c r="AI122"/>
      <c r="AJ122"/>
      <c r="AK122" s="13"/>
      <c r="AL122" s="13"/>
      <c r="AM122" s="13"/>
      <c r="AN122"/>
      <c r="AP122"/>
      <c r="AR122"/>
      <c r="AT122"/>
      <c r="AX122"/>
      <c r="BF122"/>
    </row>
    <row r="123" spans="1:59" s="9" customFormat="1" x14ac:dyDescent="0.25">
      <c r="A123"/>
      <c r="B123"/>
      <c r="C123"/>
      <c r="D123"/>
      <c r="E123"/>
      <c r="F123" s="41"/>
      <c r="G123"/>
      <c r="H123" s="13"/>
      <c r="I123" s="112"/>
      <c r="J123" s="13"/>
      <c r="K123" s="261"/>
      <c r="L123"/>
      <c r="M123" s="13"/>
      <c r="N123"/>
      <c r="O123" s="13"/>
      <c r="P123" s="112"/>
      <c r="Q123" s="13"/>
      <c r="R123"/>
      <c r="S123" s="41"/>
      <c r="T123" s="46"/>
      <c r="U123" s="30"/>
      <c r="V123" s="41"/>
      <c r="W123"/>
      <c r="X123" s="13"/>
      <c r="Y123" s="112"/>
      <c r="Z123" s="13"/>
      <c r="AA123" s="13"/>
      <c r="AB123"/>
      <c r="AC123"/>
      <c r="AD123" s="13"/>
      <c r="AE123" s="112"/>
      <c r="AF123" s="13"/>
      <c r="AG123" s="13"/>
      <c r="AH123" s="13"/>
      <c r="AI123"/>
      <c r="AJ123"/>
      <c r="AK123" s="13"/>
      <c r="AL123" s="13"/>
      <c r="AM123" s="13"/>
      <c r="AN123"/>
      <c r="AP123"/>
      <c r="AR123"/>
      <c r="AT123"/>
      <c r="AX123"/>
      <c r="BF123"/>
    </row>
    <row r="124" spans="1:59" s="9" customFormat="1" x14ac:dyDescent="0.25">
      <c r="A124"/>
      <c r="B124"/>
      <c r="C124"/>
      <c r="D124"/>
      <c r="E124"/>
      <c r="F124" s="41"/>
      <c r="G124"/>
      <c r="H124" s="13"/>
      <c r="I124" s="112"/>
      <c r="J124" s="13"/>
      <c r="K124" s="261"/>
      <c r="L124"/>
      <c r="M124" s="13"/>
      <c r="N124"/>
      <c r="O124" s="13"/>
      <c r="P124" s="112"/>
      <c r="Q124" s="13"/>
      <c r="R124"/>
      <c r="S124" s="41"/>
      <c r="T124" s="46"/>
      <c r="U124" s="30"/>
      <c r="V124" s="41"/>
      <c r="W124"/>
      <c r="X124" s="13"/>
      <c r="Y124" s="112"/>
      <c r="Z124" s="13"/>
      <c r="AA124" s="13"/>
      <c r="AB124"/>
      <c r="AC124"/>
      <c r="AD124" s="13"/>
      <c r="AE124" s="112"/>
      <c r="AF124" s="13"/>
      <c r="AG124" s="13"/>
      <c r="AH124" s="13"/>
      <c r="AI124"/>
      <c r="AJ124"/>
      <c r="AK124" s="13"/>
      <c r="AL124" s="13"/>
      <c r="AM124" s="13"/>
      <c r="AN124"/>
      <c r="AP124"/>
      <c r="AR124"/>
      <c r="AT124"/>
      <c r="AX124"/>
      <c r="BF124"/>
    </row>
    <row r="125" spans="1:59" s="9" customFormat="1" x14ac:dyDescent="0.25">
      <c r="A125"/>
      <c r="B125"/>
      <c r="C125"/>
      <c r="D125"/>
      <c r="E125"/>
      <c r="F125" s="41"/>
      <c r="G125"/>
      <c r="H125" s="13"/>
      <c r="I125" s="112"/>
      <c r="J125" s="13"/>
      <c r="K125" s="261"/>
      <c r="L125"/>
      <c r="M125" s="13"/>
      <c r="N125"/>
      <c r="O125" s="13"/>
      <c r="P125" s="112"/>
      <c r="Q125" s="13"/>
      <c r="R125"/>
      <c r="S125" s="41"/>
      <c r="T125" s="46"/>
      <c r="U125" s="30"/>
      <c r="V125" s="41"/>
      <c r="W125"/>
      <c r="X125" s="13"/>
      <c r="Y125" s="112"/>
      <c r="Z125" s="13"/>
      <c r="AA125" s="13"/>
      <c r="AB125"/>
      <c r="AC125"/>
      <c r="AD125" s="13"/>
      <c r="AE125" s="112"/>
      <c r="AF125" s="13"/>
      <c r="AG125" s="13"/>
      <c r="AH125" s="13"/>
      <c r="AI125"/>
      <c r="AJ125"/>
      <c r="AK125" s="13"/>
      <c r="AL125" s="13"/>
      <c r="AM125" s="13"/>
      <c r="AN125"/>
      <c r="AP125"/>
      <c r="AR125"/>
      <c r="AT125"/>
      <c r="AX125"/>
      <c r="BF125"/>
    </row>
    <row r="126" spans="1:59" s="9" customFormat="1" x14ac:dyDescent="0.25">
      <c r="A126"/>
      <c r="B126"/>
      <c r="C126"/>
      <c r="D126"/>
      <c r="E126"/>
      <c r="F126" s="41"/>
      <c r="G126"/>
      <c r="H126" s="13"/>
      <c r="I126" s="112"/>
      <c r="J126" s="13"/>
      <c r="K126" s="261"/>
      <c r="L126"/>
      <c r="M126" s="13"/>
      <c r="N126"/>
      <c r="O126" s="13"/>
      <c r="P126" s="112"/>
      <c r="Q126" s="13"/>
      <c r="R126"/>
      <c r="S126" s="41"/>
      <c r="T126" s="46"/>
      <c r="U126" s="30"/>
      <c r="V126" s="41"/>
      <c r="W126"/>
      <c r="X126" s="13"/>
      <c r="Y126" s="112"/>
      <c r="Z126" s="13"/>
      <c r="AA126" s="13"/>
      <c r="AB126"/>
      <c r="AC126"/>
      <c r="AD126" s="13"/>
      <c r="AE126" s="112"/>
      <c r="AF126" s="13"/>
      <c r="AG126" s="13"/>
      <c r="AH126" s="13"/>
      <c r="AI126"/>
      <c r="AJ126"/>
      <c r="AK126" s="13"/>
      <c r="AL126" s="13"/>
      <c r="AM126" s="13"/>
      <c r="AN126"/>
      <c r="AP126"/>
      <c r="AR126"/>
      <c r="AT126"/>
      <c r="AX126"/>
      <c r="BF126"/>
    </row>
    <row r="127" spans="1:59" s="9" customFormat="1" x14ac:dyDescent="0.25">
      <c r="A127"/>
      <c r="B127"/>
      <c r="C127"/>
      <c r="D127"/>
      <c r="E127"/>
      <c r="F127" s="41"/>
      <c r="G127"/>
      <c r="H127" s="13"/>
      <c r="I127" s="112"/>
      <c r="J127" s="13"/>
      <c r="K127" s="261"/>
      <c r="L127"/>
      <c r="M127" s="13"/>
      <c r="N127"/>
      <c r="O127" s="13"/>
      <c r="P127" s="112"/>
      <c r="Q127" s="13"/>
      <c r="R127"/>
      <c r="S127" s="41"/>
      <c r="T127" s="46"/>
      <c r="U127" s="30"/>
      <c r="V127" s="41"/>
      <c r="W127"/>
      <c r="X127" s="13"/>
      <c r="Y127" s="112"/>
      <c r="Z127" s="13"/>
      <c r="AA127" s="13"/>
      <c r="AB127"/>
      <c r="AC127"/>
      <c r="AD127" s="13"/>
      <c r="AE127" s="112"/>
      <c r="AF127" s="13"/>
      <c r="AG127" s="13"/>
      <c r="AH127" s="13"/>
      <c r="AI127"/>
      <c r="AJ127"/>
      <c r="AK127" s="13"/>
      <c r="AL127" s="13"/>
      <c r="AM127" s="13"/>
      <c r="AN127"/>
      <c r="AP127"/>
      <c r="AR127"/>
      <c r="AT127"/>
      <c r="AX127"/>
      <c r="BF127"/>
    </row>
    <row r="128" spans="1:59" s="13" customFormat="1" x14ac:dyDescent="0.25">
      <c r="A128"/>
      <c r="B128"/>
      <c r="C128"/>
      <c r="D128"/>
      <c r="E128"/>
      <c r="F128" s="41"/>
      <c r="G128"/>
      <c r="I128" s="112"/>
      <c r="K128" s="261"/>
      <c r="L128"/>
      <c r="N128"/>
      <c r="P128" s="112"/>
      <c r="R128"/>
      <c r="S128" s="41"/>
      <c r="T128" s="46"/>
      <c r="U128" s="30"/>
      <c r="V128" s="41"/>
      <c r="W128"/>
      <c r="Y128" s="112"/>
      <c r="AB128"/>
      <c r="AC128"/>
      <c r="AE128" s="112"/>
      <c r="AI128"/>
      <c r="AJ128"/>
      <c r="AN128"/>
      <c r="AO128" s="9"/>
      <c r="AP128"/>
      <c r="AQ128" s="9"/>
      <c r="AR128"/>
      <c r="AS128" s="9"/>
      <c r="AT128"/>
      <c r="AU128" s="9"/>
      <c r="AV128" s="9"/>
      <c r="AW128" s="9"/>
      <c r="AX128"/>
      <c r="AY128" s="9"/>
      <c r="AZ128" s="9"/>
      <c r="BA128" s="9"/>
      <c r="BB128" s="9"/>
      <c r="BC128" s="9"/>
      <c r="BD128" s="9"/>
      <c r="BE128" s="9"/>
      <c r="BF128"/>
      <c r="BG128" s="9"/>
    </row>
    <row r="129" spans="1:59" s="13" customFormat="1" x14ac:dyDescent="0.25">
      <c r="A129"/>
      <c r="B129"/>
      <c r="C129"/>
      <c r="D129"/>
      <c r="E129"/>
      <c r="F129" s="41"/>
      <c r="G129"/>
      <c r="I129" s="112"/>
      <c r="K129" s="261"/>
      <c r="L129"/>
      <c r="N129"/>
      <c r="P129" s="112"/>
      <c r="R129"/>
      <c r="S129" s="41"/>
      <c r="T129" s="46"/>
      <c r="U129" s="30"/>
      <c r="V129" s="41"/>
      <c r="W129"/>
      <c r="Y129" s="112"/>
      <c r="AB129"/>
      <c r="AC129"/>
      <c r="AE129" s="112"/>
      <c r="AI129"/>
      <c r="AJ129"/>
      <c r="AN129"/>
      <c r="AO129" s="9"/>
      <c r="AP129"/>
      <c r="AQ129" s="9"/>
      <c r="AR129"/>
      <c r="AS129" s="9"/>
      <c r="AT129"/>
      <c r="AU129" s="9"/>
      <c r="AV129" s="9"/>
      <c r="AW129" s="9"/>
      <c r="AX129"/>
      <c r="AY129" s="9"/>
      <c r="AZ129" s="9"/>
      <c r="BA129" s="9"/>
      <c r="BB129" s="9"/>
      <c r="BC129" s="9"/>
      <c r="BD129" s="9"/>
      <c r="BE129" s="9"/>
      <c r="BF129"/>
      <c r="BG129" s="9"/>
    </row>
    <row r="130" spans="1:59" s="13" customFormat="1" x14ac:dyDescent="0.25">
      <c r="A130"/>
      <c r="B130"/>
      <c r="C130"/>
      <c r="D130"/>
      <c r="E130"/>
      <c r="F130" s="41"/>
      <c r="G130"/>
      <c r="I130" s="112"/>
      <c r="K130" s="261"/>
      <c r="L130"/>
      <c r="N130"/>
      <c r="P130" s="112"/>
      <c r="R130"/>
      <c r="S130" s="41"/>
      <c r="T130" s="46"/>
      <c r="U130" s="30"/>
      <c r="V130" s="41"/>
      <c r="W130"/>
      <c r="Y130" s="112"/>
      <c r="AB130"/>
      <c r="AC130"/>
      <c r="AE130" s="112"/>
      <c r="AI130"/>
      <c r="AJ130"/>
      <c r="AN130"/>
      <c r="AO130" s="9"/>
      <c r="AP130"/>
      <c r="AQ130" s="9"/>
      <c r="AR130"/>
      <c r="AS130" s="9"/>
      <c r="AT130"/>
      <c r="AU130" s="9"/>
      <c r="AV130" s="9"/>
      <c r="AW130" s="9"/>
      <c r="AX130"/>
      <c r="AY130" s="9"/>
      <c r="AZ130" s="9"/>
      <c r="BA130" s="9"/>
      <c r="BB130" s="9"/>
      <c r="BC130" s="9"/>
      <c r="BD130" s="9"/>
      <c r="BE130" s="9"/>
      <c r="BF130"/>
      <c r="BG130" s="9"/>
    </row>
    <row r="131" spans="1:59" s="13" customFormat="1" x14ac:dyDescent="0.25">
      <c r="A131"/>
      <c r="B131"/>
      <c r="C131"/>
      <c r="D131"/>
      <c r="E131"/>
      <c r="F131" s="41"/>
      <c r="G131"/>
      <c r="I131" s="112"/>
      <c r="K131" s="261"/>
      <c r="L131"/>
      <c r="N131"/>
      <c r="P131" s="112"/>
      <c r="R131"/>
      <c r="S131" s="41"/>
      <c r="T131" s="46"/>
      <c r="U131" s="30"/>
      <c r="V131" s="41"/>
      <c r="W131"/>
      <c r="Y131" s="112"/>
      <c r="AB131"/>
      <c r="AC131"/>
      <c r="AE131" s="112"/>
      <c r="AI131"/>
      <c r="AJ131"/>
      <c r="AN131"/>
      <c r="AO131" s="9"/>
      <c r="AP131"/>
      <c r="AQ131" s="9"/>
      <c r="AR131"/>
      <c r="AS131" s="9"/>
      <c r="AT131"/>
      <c r="AU131" s="9"/>
      <c r="AV131" s="9"/>
      <c r="AW131" s="9"/>
      <c r="AX131"/>
      <c r="AY131" s="9"/>
      <c r="AZ131" s="9"/>
      <c r="BA131" s="9"/>
      <c r="BB131" s="9"/>
      <c r="BC131" s="9"/>
      <c r="BD131" s="9"/>
      <c r="BE131" s="9"/>
      <c r="BF131"/>
      <c r="BG131" s="9"/>
    </row>
    <row r="132" spans="1:59" s="13" customFormat="1" x14ac:dyDescent="0.25">
      <c r="A132"/>
      <c r="B132"/>
      <c r="C132"/>
      <c r="D132"/>
      <c r="E132"/>
      <c r="F132" s="41"/>
      <c r="G132"/>
      <c r="I132" s="112"/>
      <c r="K132" s="261"/>
      <c r="L132"/>
      <c r="N132"/>
      <c r="P132" s="112"/>
      <c r="R132"/>
      <c r="S132" s="41"/>
      <c r="T132" s="46"/>
      <c r="U132" s="30"/>
      <c r="V132" s="41"/>
      <c r="W132"/>
      <c r="AB132"/>
      <c r="AC132"/>
      <c r="AI132"/>
      <c r="AJ132"/>
      <c r="AN132"/>
      <c r="AO132" s="9"/>
      <c r="AP132"/>
      <c r="AQ132" s="9"/>
      <c r="AR132"/>
      <c r="AS132" s="9"/>
      <c r="AT132"/>
      <c r="AU132" s="9"/>
      <c r="AV132" s="9"/>
      <c r="AW132" s="9"/>
      <c r="AX132"/>
      <c r="AY132" s="9"/>
      <c r="AZ132" s="9"/>
      <c r="BA132" s="9"/>
      <c r="BB132" s="9"/>
      <c r="BC132" s="9"/>
      <c r="BD132" s="9"/>
      <c r="BE132" s="9"/>
      <c r="BF132"/>
      <c r="BG132" s="9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84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" bestFit="1" customWidth="1"/>
    <col min="2" max="2" width="7.140625" bestFit="1" customWidth="1"/>
    <col min="3" max="3" width="8" bestFit="1" customWidth="1"/>
    <col min="4" max="4" width="13.7109375" bestFit="1" customWidth="1"/>
    <col min="5" max="5" width="8.140625" customWidth="1"/>
    <col min="6" max="6" width="8.140625" style="41" customWidth="1"/>
    <col min="7" max="7" width="8.140625" customWidth="1"/>
    <col min="8" max="10" width="8.140625" style="13" customWidth="1"/>
    <col min="11" max="11" width="8.140625" style="261" customWidth="1"/>
    <col min="12" max="12" width="8.140625" customWidth="1"/>
    <col min="13" max="13" width="8.140625" style="13" customWidth="1"/>
    <col min="14" max="14" width="8.140625" customWidth="1"/>
    <col min="15" max="17" width="8.140625" style="13" customWidth="1"/>
    <col min="18" max="18" width="8.140625" customWidth="1"/>
    <col min="19" max="19" width="8.140625" style="41" customWidth="1"/>
    <col min="20" max="20" width="8.140625" style="46" customWidth="1"/>
    <col min="21" max="21" width="8.140625" style="30" customWidth="1"/>
    <col min="22" max="22" width="8.140625" style="41" customWidth="1"/>
    <col min="23" max="23" width="8.140625" customWidth="1"/>
    <col min="24" max="27" width="8.140625" style="13" customWidth="1"/>
    <col min="28" max="29" width="8.140625" customWidth="1"/>
    <col min="30" max="34" width="8.140625" style="13" customWidth="1"/>
    <col min="35" max="35" width="8.140625" customWidth="1"/>
    <col min="36" max="36" width="6.28515625" customWidth="1"/>
    <col min="37" max="37" width="8.140625" style="13" customWidth="1"/>
    <col min="38" max="38" width="7.5703125" style="13" bestFit="1" customWidth="1"/>
    <col min="39" max="39" width="8.140625" style="13" bestFit="1" customWidth="1"/>
    <col min="40" max="40" width="8.140625" customWidth="1"/>
    <col min="41" max="41" width="8.140625" style="9" customWidth="1"/>
    <col min="42" max="42" width="8.140625" customWidth="1"/>
    <col min="43" max="43" width="8.140625" style="9" customWidth="1"/>
    <col min="44" max="44" width="8.140625" customWidth="1"/>
    <col min="45" max="45" width="8.140625" style="9" customWidth="1"/>
    <col min="46" max="46" width="8.140625" customWidth="1"/>
    <col min="47" max="49" width="8.140625" style="9" customWidth="1"/>
    <col min="50" max="50" width="8.140625" customWidth="1"/>
    <col min="51" max="57" width="8.140625" style="9" customWidth="1"/>
    <col min="58" max="58" width="8.140625" customWidth="1"/>
    <col min="59" max="59" width="8.140625" style="9" customWidth="1"/>
    <col min="60" max="60" width="10.42578125" bestFit="1" customWidth="1"/>
    <col min="61" max="73" width="8.140625" customWidth="1"/>
  </cols>
  <sheetData>
    <row r="1" spans="1:59" s="6" customFormat="1" x14ac:dyDescent="0.25">
      <c r="D1" s="6" t="s">
        <v>287</v>
      </c>
      <c r="E1" s="7" t="s">
        <v>1</v>
      </c>
      <c r="F1" s="40" t="s">
        <v>4</v>
      </c>
      <c r="G1" s="6" t="s">
        <v>7</v>
      </c>
      <c r="H1" s="12" t="s">
        <v>4</v>
      </c>
      <c r="I1" s="6" t="s">
        <v>149</v>
      </c>
      <c r="J1" s="12" t="s">
        <v>148</v>
      </c>
      <c r="K1" s="256" t="s">
        <v>8</v>
      </c>
      <c r="L1" s="6" t="s">
        <v>16</v>
      </c>
      <c r="M1" s="12" t="s">
        <v>4</v>
      </c>
      <c r="N1" s="6" t="s">
        <v>7</v>
      </c>
      <c r="O1" s="12" t="s">
        <v>4</v>
      </c>
      <c r="P1" s="6" t="s">
        <v>149</v>
      </c>
      <c r="Q1" s="12" t="s">
        <v>148</v>
      </c>
      <c r="R1" s="232" t="s">
        <v>8</v>
      </c>
      <c r="S1" s="231" t="s">
        <v>20</v>
      </c>
      <c r="T1" s="257" t="s">
        <v>42</v>
      </c>
      <c r="U1" s="298" t="s">
        <v>2</v>
      </c>
      <c r="V1" s="40" t="s">
        <v>4</v>
      </c>
      <c r="W1" s="6" t="s">
        <v>7</v>
      </c>
      <c r="X1" s="12" t="s">
        <v>4</v>
      </c>
      <c r="Y1" s="6" t="s">
        <v>149</v>
      </c>
      <c r="Z1" s="12" t="s">
        <v>148</v>
      </c>
      <c r="AA1" s="111" t="s">
        <v>8</v>
      </c>
      <c r="AB1" s="6" t="s">
        <v>45</v>
      </c>
      <c r="AC1" s="6" t="s">
        <v>7</v>
      </c>
      <c r="AD1" s="12" t="s">
        <v>4</v>
      </c>
      <c r="AE1" s="6" t="s">
        <v>149</v>
      </c>
      <c r="AF1" s="12" t="s">
        <v>148</v>
      </c>
      <c r="AG1" s="111" t="s">
        <v>8</v>
      </c>
      <c r="AH1" s="12" t="s">
        <v>19</v>
      </c>
      <c r="AI1" s="9" t="s">
        <v>6</v>
      </c>
      <c r="AJ1" s="9" t="s">
        <v>5</v>
      </c>
      <c r="AK1" s="12" t="s">
        <v>8</v>
      </c>
      <c r="AL1" s="6" t="s">
        <v>25</v>
      </c>
      <c r="AM1" s="6" t="s">
        <v>22</v>
      </c>
      <c r="AN1" s="7" t="s">
        <v>9</v>
      </c>
      <c r="AO1" s="9" t="s">
        <v>5</v>
      </c>
      <c r="AP1" s="6" t="s">
        <v>153</v>
      </c>
      <c r="AQ1" s="9" t="s">
        <v>5</v>
      </c>
      <c r="AR1" s="6" t="s">
        <v>154</v>
      </c>
      <c r="AS1" s="9" t="s">
        <v>5</v>
      </c>
      <c r="AT1" s="6" t="s">
        <v>39</v>
      </c>
      <c r="AU1" s="9" t="s">
        <v>5</v>
      </c>
      <c r="AV1" s="6" t="s">
        <v>155</v>
      </c>
      <c r="AW1" s="9" t="s">
        <v>5</v>
      </c>
      <c r="AX1" s="6" t="s">
        <v>152</v>
      </c>
      <c r="AY1" s="9" t="s">
        <v>5</v>
      </c>
      <c r="AZ1" s="6" t="s">
        <v>157</v>
      </c>
      <c r="BA1" s="9" t="s">
        <v>5</v>
      </c>
      <c r="BB1" s="6" t="s">
        <v>156</v>
      </c>
      <c r="BC1" s="9" t="s">
        <v>5</v>
      </c>
      <c r="BD1" s="6" t="s">
        <v>158</v>
      </c>
      <c r="BE1" s="9" t="s">
        <v>5</v>
      </c>
      <c r="BF1" s="6" t="s">
        <v>159</v>
      </c>
      <c r="BG1" s="37" t="s">
        <v>5</v>
      </c>
    </row>
    <row r="2" spans="1:59" x14ac:dyDescent="0.25">
      <c r="A2" s="10"/>
      <c r="B2" s="1" t="s">
        <v>0</v>
      </c>
      <c r="C2" s="81">
        <v>42772</v>
      </c>
      <c r="D2" s="81"/>
      <c r="E2" s="3">
        <v>10</v>
      </c>
      <c r="F2" s="54">
        <v>10.01</v>
      </c>
      <c r="G2" s="51"/>
      <c r="H2" s="52">
        <v>0.20625000000000002</v>
      </c>
      <c r="I2" s="159">
        <v>126</v>
      </c>
      <c r="J2" s="157">
        <v>145</v>
      </c>
      <c r="K2" s="258">
        <v>3.4386574074074076E-2</v>
      </c>
      <c r="L2" s="11"/>
      <c r="M2" s="50"/>
      <c r="N2" s="11"/>
      <c r="O2" s="50"/>
      <c r="P2" s="161"/>
      <c r="Q2" s="157"/>
      <c r="R2" s="11"/>
      <c r="S2" s="223"/>
      <c r="T2" s="26"/>
      <c r="U2" s="53"/>
      <c r="V2" s="54"/>
      <c r="W2" s="11"/>
      <c r="X2" s="50"/>
      <c r="Y2" s="161"/>
      <c r="Z2" s="157"/>
      <c r="AA2" s="263"/>
      <c r="AB2" s="11"/>
      <c r="AC2" s="11"/>
      <c r="AD2" s="50"/>
      <c r="AE2" s="161"/>
      <c r="AF2" s="157"/>
      <c r="AG2" s="263"/>
      <c r="AH2" s="13">
        <f t="shared" ref="AH2:AH30" si="0">F2+M2+V2+AB2+S2</f>
        <v>10.01</v>
      </c>
      <c r="AI2" s="87">
        <f t="shared" ref="AI2:AI30" si="1">E2+L2+V2+AB2+S2</f>
        <v>10</v>
      </c>
      <c r="AJ2" s="27">
        <f t="shared" ref="AJ2:AJ47" si="2">AH2-AI2</f>
        <v>9.9999999999997868E-3</v>
      </c>
      <c r="AK2" s="63">
        <f t="shared" ref="AK2:AK30" si="3">K2+R2+AA2+AG2+T2</f>
        <v>3.4386574074074076E-2</v>
      </c>
      <c r="AL2" s="59"/>
      <c r="AM2" s="51"/>
      <c r="AN2" s="3"/>
      <c r="AO2" s="9" t="e">
        <f>#REF!-AN2</f>
        <v>#REF!</v>
      </c>
      <c r="AQ2" s="9" t="e">
        <f>#REF!-AP2</f>
        <v>#REF!</v>
      </c>
      <c r="AS2" s="9" t="e">
        <f>#REF!-AR2</f>
        <v>#REF!</v>
      </c>
      <c r="AU2" s="9" t="e">
        <f>#REF!-AT2</f>
        <v>#REF!</v>
      </c>
      <c r="AV2"/>
      <c r="AW2" s="9" t="e">
        <f>#REF!-AV2</f>
        <v>#REF!</v>
      </c>
      <c r="AY2" s="9" t="e">
        <f>#REF!-AX2</f>
        <v>#REF!</v>
      </c>
      <c r="AZ2"/>
      <c r="BA2" s="9" t="e">
        <f>#REF!-AZ2</f>
        <v>#REF!</v>
      </c>
      <c r="BB2"/>
      <c r="BC2" s="9" t="e">
        <f>#REF!-BB2</f>
        <v>#REF!</v>
      </c>
      <c r="BD2"/>
      <c r="BE2" s="9" t="e">
        <f>#REF!-BD2</f>
        <v>#REF!</v>
      </c>
      <c r="BG2" s="37" t="e">
        <f>#REF!-BF2</f>
        <v>#REF!</v>
      </c>
    </row>
    <row r="3" spans="1:59" x14ac:dyDescent="0.25">
      <c r="A3" s="10"/>
      <c r="B3" s="1" t="s">
        <v>24</v>
      </c>
      <c r="C3" s="81">
        <v>42773</v>
      </c>
      <c r="D3" s="81"/>
      <c r="E3" s="3"/>
      <c r="F3" s="54"/>
      <c r="G3" s="51"/>
      <c r="H3" s="52"/>
      <c r="I3" s="161"/>
      <c r="J3" s="157"/>
      <c r="K3" s="258"/>
      <c r="L3" s="11">
        <v>6</v>
      </c>
      <c r="M3" s="50">
        <v>6.39</v>
      </c>
      <c r="N3" s="51"/>
      <c r="O3" s="52">
        <v>0.20972222222222223</v>
      </c>
      <c r="P3" s="161">
        <v>140</v>
      </c>
      <c r="Q3" s="157">
        <v>134</v>
      </c>
      <c r="R3" s="26">
        <v>2.2303240740740738E-2</v>
      </c>
      <c r="S3" s="223"/>
      <c r="T3" s="26"/>
      <c r="U3" s="53"/>
      <c r="V3" s="54"/>
      <c r="W3" s="11"/>
      <c r="X3" s="50"/>
      <c r="Y3" s="161"/>
      <c r="Z3" s="157"/>
      <c r="AA3" s="263"/>
      <c r="AB3" s="11">
        <v>8</v>
      </c>
      <c r="AC3" s="2">
        <v>0.16250000000000001</v>
      </c>
      <c r="AD3" s="52">
        <v>0.16944444444444443</v>
      </c>
      <c r="AE3" s="161">
        <v>167</v>
      </c>
      <c r="AF3" s="157">
        <v>143</v>
      </c>
      <c r="AG3" s="233">
        <v>2.2581018518518518E-2</v>
      </c>
      <c r="AH3" s="13">
        <f t="shared" si="0"/>
        <v>14.39</v>
      </c>
      <c r="AI3" s="87">
        <f t="shared" si="1"/>
        <v>14</v>
      </c>
      <c r="AJ3" s="27">
        <f t="shared" si="2"/>
        <v>0.39000000000000057</v>
      </c>
      <c r="AK3" s="63">
        <f t="shared" si="3"/>
        <v>4.4884259259259256E-2</v>
      </c>
      <c r="AL3" s="59"/>
      <c r="AM3" s="51"/>
      <c r="AN3" s="3"/>
      <c r="AV3"/>
      <c r="AZ3"/>
      <c r="BB3"/>
      <c r="BD3"/>
      <c r="BG3" s="37"/>
    </row>
    <row r="4" spans="1:59" x14ac:dyDescent="0.25">
      <c r="A4" s="10">
        <v>6</v>
      </c>
      <c r="B4" s="1" t="s">
        <v>15</v>
      </c>
      <c r="C4" s="81">
        <v>42774</v>
      </c>
      <c r="D4" s="81"/>
      <c r="E4" s="3">
        <v>10</v>
      </c>
      <c r="F4" s="54">
        <v>10.08</v>
      </c>
      <c r="G4" s="51"/>
      <c r="H4" s="52">
        <v>0.20902777777777778</v>
      </c>
      <c r="I4" s="159">
        <v>126</v>
      </c>
      <c r="J4" s="157">
        <v>139</v>
      </c>
      <c r="K4" s="258">
        <v>3.516203703703704E-2</v>
      </c>
      <c r="L4" s="11"/>
      <c r="M4" s="50"/>
      <c r="N4" s="2"/>
      <c r="O4" s="52"/>
      <c r="P4" s="161"/>
      <c r="Q4" s="157"/>
      <c r="R4" s="26"/>
      <c r="S4" s="223"/>
      <c r="T4" s="26"/>
      <c r="U4" s="53"/>
      <c r="V4" s="54"/>
      <c r="W4" s="51"/>
      <c r="X4" s="52"/>
      <c r="Y4" s="161"/>
      <c r="Z4" s="157"/>
      <c r="AA4" s="233"/>
      <c r="AB4" s="11"/>
      <c r="AC4" s="11"/>
      <c r="AD4" s="50"/>
      <c r="AE4" s="161"/>
      <c r="AF4" s="157"/>
      <c r="AG4" s="263"/>
      <c r="AH4" s="13">
        <f t="shared" si="0"/>
        <v>10.08</v>
      </c>
      <c r="AI4" s="87">
        <f t="shared" si="1"/>
        <v>10</v>
      </c>
      <c r="AJ4" s="27">
        <f t="shared" si="2"/>
        <v>8.0000000000000071E-2</v>
      </c>
      <c r="AK4" s="63">
        <f t="shared" si="3"/>
        <v>3.516203703703704E-2</v>
      </c>
      <c r="AL4" s="59"/>
      <c r="AM4" s="51"/>
      <c r="AN4" s="3"/>
      <c r="AO4" s="55"/>
      <c r="AP4" s="11"/>
      <c r="AQ4" s="55"/>
      <c r="AR4" s="11"/>
      <c r="AS4" s="55"/>
      <c r="AT4" s="11"/>
      <c r="AU4" s="55"/>
      <c r="AV4" s="11"/>
      <c r="AW4" s="55"/>
      <c r="AX4" s="11"/>
      <c r="AY4" s="55"/>
      <c r="AZ4" s="11"/>
      <c r="BA4" s="55"/>
      <c r="BB4" s="11"/>
      <c r="BC4" s="55"/>
      <c r="BD4" s="11"/>
      <c r="BE4" s="55"/>
      <c r="BF4" s="11"/>
      <c r="BG4" s="37"/>
    </row>
    <row r="5" spans="1:59" x14ac:dyDescent="0.25">
      <c r="A5" s="10"/>
      <c r="B5" s="1" t="s">
        <v>26</v>
      </c>
      <c r="C5" s="81">
        <v>42775</v>
      </c>
      <c r="D5" s="81"/>
      <c r="E5" s="3">
        <v>10</v>
      </c>
      <c r="F5" s="54">
        <v>10.32</v>
      </c>
      <c r="G5" s="2">
        <v>0.20555555555555557</v>
      </c>
      <c r="H5" s="52">
        <v>0.19999999999999998</v>
      </c>
      <c r="I5" s="161">
        <v>140</v>
      </c>
      <c r="J5" s="157">
        <v>156</v>
      </c>
      <c r="K5" s="258">
        <v>3.4421296296296297E-2</v>
      </c>
      <c r="L5" s="11"/>
      <c r="M5" s="50"/>
      <c r="N5" s="2"/>
      <c r="O5" s="52"/>
      <c r="P5" s="161"/>
      <c r="Q5" s="157"/>
      <c r="R5" s="26"/>
      <c r="S5" s="223"/>
      <c r="T5" s="26"/>
      <c r="U5" s="53"/>
      <c r="V5" s="54"/>
      <c r="W5" s="51"/>
      <c r="X5" s="52"/>
      <c r="Y5" s="161"/>
      <c r="Z5" s="157"/>
      <c r="AA5" s="233"/>
      <c r="AB5" s="11"/>
      <c r="AC5" s="11"/>
      <c r="AD5" s="50"/>
      <c r="AE5" s="161"/>
      <c r="AF5" s="157"/>
      <c r="AG5" s="263"/>
      <c r="AH5" s="13">
        <f t="shared" si="0"/>
        <v>10.32</v>
      </c>
      <c r="AI5" s="87">
        <f t="shared" si="1"/>
        <v>10</v>
      </c>
      <c r="AJ5" s="27">
        <f t="shared" si="2"/>
        <v>0.32000000000000028</v>
      </c>
      <c r="AK5" s="63">
        <f t="shared" si="3"/>
        <v>3.4421296296296297E-2</v>
      </c>
      <c r="AL5" s="59"/>
      <c r="AM5" s="51"/>
      <c r="AN5" s="3"/>
      <c r="AO5" s="55"/>
      <c r="AP5" s="11"/>
      <c r="AQ5" s="55"/>
      <c r="AR5" s="11"/>
      <c r="AS5" s="55"/>
      <c r="AT5" s="11"/>
      <c r="AU5" s="55"/>
      <c r="AV5" s="11"/>
      <c r="AW5" s="55"/>
      <c r="AX5" s="11"/>
      <c r="AY5" s="55"/>
      <c r="AZ5" s="11"/>
      <c r="BA5" s="55"/>
      <c r="BB5" s="11"/>
      <c r="BC5" s="55"/>
      <c r="BD5" s="11"/>
      <c r="BE5" s="55"/>
      <c r="BF5" s="11"/>
      <c r="BG5" s="37"/>
    </row>
    <row r="6" spans="1:59" x14ac:dyDescent="0.25">
      <c r="A6" s="10"/>
      <c r="B6" s="1" t="s">
        <v>29</v>
      </c>
      <c r="C6" s="81">
        <v>42776</v>
      </c>
      <c r="D6" s="81"/>
      <c r="E6" s="3">
        <v>18</v>
      </c>
      <c r="F6" s="54">
        <v>18.170000000000002</v>
      </c>
      <c r="G6" s="2">
        <v>0.20555555555555557</v>
      </c>
      <c r="H6" s="52">
        <v>0.20069444444444443</v>
      </c>
      <c r="I6" s="161">
        <v>140</v>
      </c>
      <c r="J6" s="157">
        <v>126</v>
      </c>
      <c r="K6" s="258">
        <v>6.0856481481481484E-2</v>
      </c>
      <c r="L6" s="11"/>
      <c r="M6" s="50"/>
      <c r="N6" s="2"/>
      <c r="O6" s="52"/>
      <c r="P6" s="161"/>
      <c r="Q6" s="157"/>
      <c r="R6" s="26"/>
      <c r="S6" s="223"/>
      <c r="T6" s="26"/>
      <c r="U6" s="53"/>
      <c r="V6" s="54"/>
      <c r="W6" s="51"/>
      <c r="X6" s="52"/>
      <c r="Y6" s="161"/>
      <c r="Z6" s="157"/>
      <c r="AA6" s="233"/>
      <c r="AB6" s="11"/>
      <c r="AC6" s="11"/>
      <c r="AD6" s="50"/>
      <c r="AE6" s="161"/>
      <c r="AF6" s="157"/>
      <c r="AG6" s="263"/>
      <c r="AH6" s="13">
        <f t="shared" si="0"/>
        <v>18.170000000000002</v>
      </c>
      <c r="AI6" s="87">
        <f t="shared" si="1"/>
        <v>18</v>
      </c>
      <c r="AJ6" s="27">
        <f t="shared" si="2"/>
        <v>0.17000000000000171</v>
      </c>
      <c r="AK6" s="63">
        <f t="shared" si="3"/>
        <v>6.0856481481481484E-2</v>
      </c>
      <c r="AL6" s="59"/>
      <c r="AM6" s="51"/>
      <c r="AN6" s="3"/>
      <c r="AO6" s="55"/>
      <c r="AP6" s="11"/>
      <c r="AQ6" s="55"/>
      <c r="AR6" s="11"/>
      <c r="AS6" s="55"/>
      <c r="AT6" s="11"/>
      <c r="AU6" s="55"/>
      <c r="AV6" s="11"/>
      <c r="AW6" s="55"/>
      <c r="AX6" s="11"/>
      <c r="AY6" s="55"/>
      <c r="AZ6" s="11"/>
      <c r="BA6" s="55"/>
      <c r="BB6" s="11"/>
      <c r="BC6" s="55"/>
      <c r="BD6" s="11"/>
      <c r="BE6" s="55"/>
      <c r="BF6" s="11"/>
      <c r="BG6" s="37"/>
    </row>
    <row r="7" spans="1:59" x14ac:dyDescent="0.25">
      <c r="A7" s="56"/>
      <c r="B7" s="17" t="s">
        <v>27</v>
      </c>
      <c r="C7" s="85">
        <v>42778</v>
      </c>
      <c r="D7" s="85"/>
      <c r="E7" s="19">
        <v>28</v>
      </c>
      <c r="F7" s="42">
        <v>29</v>
      </c>
      <c r="G7" s="21">
        <v>0.20555555555555557</v>
      </c>
      <c r="H7" s="22">
        <v>0.20208333333333331</v>
      </c>
      <c r="I7" s="160">
        <v>154</v>
      </c>
      <c r="J7" s="156">
        <v>131</v>
      </c>
      <c r="K7" s="259">
        <v>9.7638888888888886E-2</v>
      </c>
      <c r="L7" s="18"/>
      <c r="M7" s="20"/>
      <c r="N7" s="18"/>
      <c r="O7" s="20"/>
      <c r="P7" s="160"/>
      <c r="Q7" s="156"/>
      <c r="R7" s="18"/>
      <c r="S7" s="224"/>
      <c r="T7" s="84"/>
      <c r="U7" s="31"/>
      <c r="V7" s="42"/>
      <c r="W7" s="18"/>
      <c r="X7" s="20"/>
      <c r="Y7" s="160"/>
      <c r="Z7" s="156"/>
      <c r="AA7" s="265"/>
      <c r="AB7" s="18"/>
      <c r="AC7" s="18"/>
      <c r="AD7" s="20"/>
      <c r="AE7" s="160"/>
      <c r="AF7" s="156"/>
      <c r="AG7" s="265"/>
      <c r="AH7" s="20">
        <f t="shared" si="0"/>
        <v>29</v>
      </c>
      <c r="AI7" s="88">
        <f t="shared" si="1"/>
        <v>28</v>
      </c>
      <c r="AJ7" s="34">
        <f t="shared" si="2"/>
        <v>1</v>
      </c>
      <c r="AK7" s="58">
        <f t="shared" si="3"/>
        <v>9.7638888888888886E-2</v>
      </c>
      <c r="AL7" s="57">
        <f>SUM(AH2:AH7)</f>
        <v>91.97</v>
      </c>
      <c r="AM7" s="21">
        <f>SUM(AK2:AK7)</f>
        <v>0.30734953703703705</v>
      </c>
      <c r="AN7" s="19"/>
      <c r="AO7" s="36"/>
      <c r="AP7" s="18"/>
      <c r="AQ7" s="36"/>
      <c r="AR7" s="18"/>
      <c r="AS7" s="36"/>
      <c r="AT7" s="18"/>
      <c r="AU7" s="36"/>
      <c r="AV7" s="18"/>
      <c r="AW7" s="36"/>
      <c r="AX7" s="18"/>
      <c r="AY7" s="36"/>
      <c r="AZ7" s="18"/>
      <c r="BA7" s="36"/>
      <c r="BB7" s="18"/>
      <c r="BC7" s="36"/>
      <c r="BD7" s="18"/>
      <c r="BE7" s="36"/>
      <c r="BF7" s="18"/>
      <c r="BG7" s="38"/>
    </row>
    <row r="8" spans="1:59" x14ac:dyDescent="0.25">
      <c r="A8" s="10"/>
      <c r="B8" s="1" t="s">
        <v>0</v>
      </c>
      <c r="C8" s="81">
        <v>42779</v>
      </c>
      <c r="D8" s="81"/>
      <c r="E8" s="3">
        <v>10</v>
      </c>
      <c r="F8" s="54">
        <v>10</v>
      </c>
      <c r="G8" s="51"/>
      <c r="H8" s="52">
        <v>0.20833333333333334</v>
      </c>
      <c r="I8" s="159">
        <v>126</v>
      </c>
      <c r="J8" s="157">
        <v>137</v>
      </c>
      <c r="K8" s="258">
        <v>3.4756944444444444E-2</v>
      </c>
      <c r="L8" s="11"/>
      <c r="M8" s="50"/>
      <c r="N8" s="51"/>
      <c r="O8" s="52"/>
      <c r="P8" s="161"/>
      <c r="Q8" s="157"/>
      <c r="R8" s="26"/>
      <c r="S8" s="223"/>
      <c r="T8" s="26"/>
      <c r="U8" s="53"/>
      <c r="V8" s="54"/>
      <c r="W8" s="11"/>
      <c r="X8" s="50"/>
      <c r="Y8" s="161"/>
      <c r="Z8" s="157"/>
      <c r="AA8" s="263"/>
      <c r="AB8" s="11"/>
      <c r="AC8" s="11"/>
      <c r="AD8" s="52"/>
      <c r="AE8" s="161"/>
      <c r="AF8" s="157"/>
      <c r="AG8" s="233"/>
      <c r="AH8" s="13">
        <f t="shared" si="0"/>
        <v>10</v>
      </c>
      <c r="AI8" s="87">
        <f t="shared" si="1"/>
        <v>10</v>
      </c>
      <c r="AJ8" s="27">
        <f t="shared" si="2"/>
        <v>0</v>
      </c>
      <c r="AK8" s="63">
        <f t="shared" si="3"/>
        <v>3.4756944444444444E-2</v>
      </c>
      <c r="AL8" s="59"/>
      <c r="AM8" s="51"/>
      <c r="AN8" s="3"/>
      <c r="AO8" s="9" t="e">
        <f>#REF!-AN8</f>
        <v>#REF!</v>
      </c>
      <c r="AQ8" s="9" t="e">
        <f>#REF!-AP8</f>
        <v>#REF!</v>
      </c>
      <c r="AS8" s="9" t="e">
        <f>#REF!-AR8</f>
        <v>#REF!</v>
      </c>
      <c r="AU8" s="9" t="e">
        <f>#REF!-AT8</f>
        <v>#REF!</v>
      </c>
      <c r="AV8"/>
      <c r="AW8" s="9" t="e">
        <f>#REF!-AV8</f>
        <v>#REF!</v>
      </c>
      <c r="AY8" s="9" t="e">
        <f>#REF!-AX8</f>
        <v>#REF!</v>
      </c>
      <c r="AZ8"/>
      <c r="BA8" s="9" t="e">
        <f>#REF!-AZ8</f>
        <v>#REF!</v>
      </c>
      <c r="BB8"/>
      <c r="BC8" s="9" t="e">
        <f>#REF!-BB8</f>
        <v>#REF!</v>
      </c>
      <c r="BD8"/>
      <c r="BE8" s="9" t="e">
        <f>#REF!-BD8</f>
        <v>#REF!</v>
      </c>
      <c r="BG8" s="37" t="e">
        <f>#REF!-BF8</f>
        <v>#REF!</v>
      </c>
    </row>
    <row r="9" spans="1:59" x14ac:dyDescent="0.25">
      <c r="A9" s="10"/>
      <c r="B9" s="1" t="s">
        <v>24</v>
      </c>
      <c r="C9" s="81">
        <v>42780</v>
      </c>
      <c r="D9" s="81"/>
      <c r="E9" s="3"/>
      <c r="F9" s="54"/>
      <c r="G9" s="51"/>
      <c r="H9" s="52"/>
      <c r="I9" s="161"/>
      <c r="J9" s="157"/>
      <c r="K9" s="258"/>
      <c r="L9" s="11">
        <v>6</v>
      </c>
      <c r="M9" s="50">
        <v>6.18</v>
      </c>
      <c r="N9" s="51"/>
      <c r="O9" s="52">
        <v>0.20625000000000002</v>
      </c>
      <c r="P9" s="161">
        <v>140</v>
      </c>
      <c r="Q9" s="157">
        <v>138</v>
      </c>
      <c r="R9" s="26">
        <v>2.1215277777777777E-2</v>
      </c>
      <c r="S9" s="223"/>
      <c r="T9" s="26"/>
      <c r="U9" s="53"/>
      <c r="V9" s="54"/>
      <c r="W9" s="11"/>
      <c r="X9" s="50"/>
      <c r="Y9" s="161"/>
      <c r="Z9" s="157"/>
      <c r="AA9" s="263"/>
      <c r="AB9" s="11">
        <v>9</v>
      </c>
      <c r="AC9" s="2">
        <v>0.16250000000000001</v>
      </c>
      <c r="AD9" s="52"/>
      <c r="AE9" s="161">
        <v>170</v>
      </c>
      <c r="AF9" s="157">
        <v>150</v>
      </c>
      <c r="AG9" s="233">
        <v>2.5532407407407406E-2</v>
      </c>
      <c r="AH9" s="50">
        <f t="shared" si="0"/>
        <v>15.18</v>
      </c>
      <c r="AI9" s="87">
        <f t="shared" si="1"/>
        <v>15</v>
      </c>
      <c r="AJ9" s="27">
        <f t="shared" si="2"/>
        <v>0.17999999999999972</v>
      </c>
      <c r="AK9" s="63">
        <f t="shared" si="3"/>
        <v>4.6747685185185184E-2</v>
      </c>
      <c r="AL9" s="59"/>
      <c r="AM9" s="51"/>
      <c r="AN9" s="3"/>
      <c r="AV9"/>
      <c r="AZ9"/>
      <c r="BB9"/>
      <c r="BD9"/>
      <c r="BG9" s="37"/>
    </row>
    <row r="10" spans="1:59" x14ac:dyDescent="0.25">
      <c r="A10" s="10">
        <v>7</v>
      </c>
      <c r="B10" s="1" t="s">
        <v>15</v>
      </c>
      <c r="C10" s="81">
        <v>42781</v>
      </c>
      <c r="D10" s="81"/>
      <c r="E10" s="3">
        <v>10</v>
      </c>
      <c r="F10" s="54">
        <v>12.25</v>
      </c>
      <c r="G10" s="51"/>
      <c r="H10" s="52">
        <v>0.21458333333333335</v>
      </c>
      <c r="I10" s="159">
        <v>126</v>
      </c>
      <c r="J10" s="157">
        <v>124</v>
      </c>
      <c r="K10" s="258">
        <v>4.3761574074074078E-2</v>
      </c>
      <c r="L10" s="11"/>
      <c r="M10" s="50"/>
      <c r="N10" s="51"/>
      <c r="O10" s="52"/>
      <c r="P10" s="161"/>
      <c r="Q10" s="157"/>
      <c r="R10" s="26"/>
      <c r="S10" s="223"/>
      <c r="T10" s="26"/>
      <c r="U10" s="53"/>
      <c r="V10" s="54"/>
      <c r="W10" s="11"/>
      <c r="X10" s="50"/>
      <c r="Y10" s="161"/>
      <c r="Z10" s="157"/>
      <c r="AA10" s="263"/>
      <c r="AB10" s="11"/>
      <c r="AC10" s="11"/>
      <c r="AD10" s="52"/>
      <c r="AE10" s="161"/>
      <c r="AF10" s="157"/>
      <c r="AG10" s="233"/>
      <c r="AH10" s="50">
        <f t="shared" si="0"/>
        <v>12.25</v>
      </c>
      <c r="AI10" s="87">
        <f t="shared" si="1"/>
        <v>10</v>
      </c>
      <c r="AJ10" s="27">
        <f t="shared" si="2"/>
        <v>2.25</v>
      </c>
      <c r="AK10" s="63">
        <f t="shared" si="3"/>
        <v>4.3761574074074078E-2</v>
      </c>
      <c r="AL10" s="59"/>
      <c r="AM10" s="51"/>
      <c r="AN10" s="3"/>
      <c r="AO10" s="55"/>
      <c r="AP10" s="11"/>
      <c r="AQ10" s="55"/>
      <c r="AR10" s="11"/>
      <c r="AS10" s="55"/>
      <c r="AT10" s="11"/>
      <c r="AU10" s="55"/>
      <c r="AV10" s="11"/>
      <c r="AW10" s="55"/>
      <c r="AX10" s="11"/>
      <c r="AY10" s="55"/>
      <c r="AZ10" s="11"/>
      <c r="BA10" s="55"/>
      <c r="BB10" s="11"/>
      <c r="BC10" s="55"/>
      <c r="BD10" s="11"/>
      <c r="BE10" s="55"/>
      <c r="BF10" s="11"/>
      <c r="BG10" s="37"/>
    </row>
    <row r="11" spans="1:59" x14ac:dyDescent="0.25">
      <c r="A11" s="10"/>
      <c r="B11" s="1" t="s">
        <v>26</v>
      </c>
      <c r="C11" s="81">
        <v>42782</v>
      </c>
      <c r="D11" s="81"/>
      <c r="E11" s="3">
        <v>20</v>
      </c>
      <c r="F11" s="54">
        <v>21.29</v>
      </c>
      <c r="G11" s="2">
        <v>0.20555555555555557</v>
      </c>
      <c r="H11" s="52">
        <v>0.19444444444444445</v>
      </c>
      <c r="I11" s="161">
        <v>140</v>
      </c>
      <c r="J11" s="157">
        <v>167</v>
      </c>
      <c r="K11" s="258">
        <v>6.9050925925925918E-2</v>
      </c>
      <c r="L11" s="11"/>
      <c r="M11" s="50"/>
      <c r="N11" s="51"/>
      <c r="O11" s="52"/>
      <c r="P11" s="161"/>
      <c r="Q11" s="157"/>
      <c r="R11" s="26"/>
      <c r="S11" s="223"/>
      <c r="T11" s="26"/>
      <c r="U11" s="53"/>
      <c r="V11" s="54"/>
      <c r="W11" s="11"/>
      <c r="X11" s="50"/>
      <c r="Y11" s="161"/>
      <c r="Z11" s="157"/>
      <c r="AA11" s="263"/>
      <c r="AB11" s="11"/>
      <c r="AC11" s="11"/>
      <c r="AD11" s="52"/>
      <c r="AE11" s="161"/>
      <c r="AF11" s="157"/>
      <c r="AG11" s="233"/>
      <c r="AH11" s="13">
        <f t="shared" si="0"/>
        <v>21.29</v>
      </c>
      <c r="AI11" s="87">
        <f t="shared" si="1"/>
        <v>20</v>
      </c>
      <c r="AJ11" s="27">
        <f t="shared" si="2"/>
        <v>1.2899999999999991</v>
      </c>
      <c r="AK11" s="63">
        <f t="shared" si="3"/>
        <v>6.9050925925925918E-2</v>
      </c>
      <c r="AL11" s="59"/>
      <c r="AM11" s="51"/>
      <c r="AN11" s="3"/>
      <c r="AO11" s="55"/>
      <c r="AP11" s="11"/>
      <c r="AQ11" s="55"/>
      <c r="AR11" s="11"/>
      <c r="AS11" s="55"/>
      <c r="AT11" s="11"/>
      <c r="AU11" s="55"/>
      <c r="AV11" s="11"/>
      <c r="AW11" s="55"/>
      <c r="AX11" s="11"/>
      <c r="AY11" s="55"/>
      <c r="AZ11" s="11"/>
      <c r="BA11" s="55"/>
      <c r="BB11" s="11"/>
      <c r="BC11" s="55"/>
      <c r="BD11" s="11"/>
      <c r="BE11" s="55"/>
      <c r="BF11" s="11"/>
      <c r="BG11" s="37"/>
    </row>
    <row r="12" spans="1:59" x14ac:dyDescent="0.25">
      <c r="A12" s="10"/>
      <c r="B12" s="1" t="s">
        <v>29</v>
      </c>
      <c r="C12" s="81">
        <v>42783</v>
      </c>
      <c r="D12" s="81"/>
      <c r="E12" s="3"/>
      <c r="F12" s="54"/>
      <c r="G12" s="51"/>
      <c r="H12" s="52"/>
      <c r="I12" s="161"/>
      <c r="J12" s="157"/>
      <c r="K12" s="258"/>
      <c r="L12" s="11">
        <v>5</v>
      </c>
      <c r="M12" s="50">
        <v>17.48</v>
      </c>
      <c r="N12" s="51"/>
      <c r="O12" s="52">
        <v>0.20208333333333331</v>
      </c>
      <c r="P12" s="161">
        <v>140</v>
      </c>
      <c r="Q12" s="157">
        <v>140</v>
      </c>
      <c r="R12" s="26">
        <v>5.8888888888888886E-2</v>
      </c>
      <c r="S12" s="223"/>
      <c r="T12" s="26"/>
      <c r="U12" s="53"/>
      <c r="V12" s="54"/>
      <c r="W12" s="11"/>
      <c r="X12" s="50"/>
      <c r="Y12" s="161"/>
      <c r="Z12" s="157"/>
      <c r="AA12" s="263"/>
      <c r="AB12" s="11">
        <v>0</v>
      </c>
      <c r="AC12" s="11">
        <v>0</v>
      </c>
      <c r="AD12" s="52"/>
      <c r="AE12" s="161">
        <v>181</v>
      </c>
      <c r="AF12" s="157"/>
      <c r="AG12" s="233"/>
      <c r="AH12" s="50">
        <f t="shared" si="0"/>
        <v>17.48</v>
      </c>
      <c r="AI12" s="87">
        <v>9</v>
      </c>
      <c r="AJ12" s="27">
        <f t="shared" si="2"/>
        <v>8.48</v>
      </c>
      <c r="AK12" s="63">
        <f t="shared" si="3"/>
        <v>5.8888888888888886E-2</v>
      </c>
      <c r="AL12" s="59"/>
      <c r="AM12" s="51"/>
      <c r="AN12" s="3"/>
      <c r="AO12" s="55"/>
      <c r="AP12" s="11"/>
      <c r="AQ12" s="55"/>
      <c r="AR12" s="11"/>
      <c r="AS12" s="55"/>
      <c r="AT12" s="11"/>
      <c r="AU12" s="55"/>
      <c r="AV12" s="11"/>
      <c r="AW12" s="55"/>
      <c r="AX12" s="11"/>
      <c r="AY12" s="55"/>
      <c r="AZ12" s="11"/>
      <c r="BA12" s="55"/>
      <c r="BB12" s="11"/>
      <c r="BC12" s="55"/>
      <c r="BD12" s="11"/>
      <c r="BE12" s="55"/>
      <c r="BF12" s="11"/>
      <c r="BG12" s="37"/>
    </row>
    <row r="13" spans="1:59" x14ac:dyDescent="0.25">
      <c r="A13" s="56"/>
      <c r="B13" s="17" t="s">
        <v>27</v>
      </c>
      <c r="C13" s="85">
        <v>42785</v>
      </c>
      <c r="D13" s="85" t="s">
        <v>360</v>
      </c>
      <c r="E13" s="19">
        <v>30</v>
      </c>
      <c r="F13" s="42">
        <v>45.23</v>
      </c>
      <c r="G13" s="21">
        <v>0.20555555555555557</v>
      </c>
      <c r="H13" s="22">
        <v>0.21736111111111112</v>
      </c>
      <c r="I13" s="160">
        <v>154</v>
      </c>
      <c r="J13" s="156">
        <v>147</v>
      </c>
      <c r="K13" s="259">
        <v>0.16372685185185185</v>
      </c>
      <c r="L13" s="18"/>
      <c r="M13" s="20"/>
      <c r="N13" s="18"/>
      <c r="O13" s="20"/>
      <c r="P13" s="160"/>
      <c r="Q13" s="156"/>
      <c r="R13" s="18"/>
      <c r="S13" s="224"/>
      <c r="T13" s="84"/>
      <c r="U13" s="31"/>
      <c r="V13" s="42"/>
      <c r="W13" s="18"/>
      <c r="X13" s="20"/>
      <c r="Y13" s="160"/>
      <c r="Z13" s="156"/>
      <c r="AA13" s="265"/>
      <c r="AB13" s="18"/>
      <c r="AC13" s="18"/>
      <c r="AD13" s="20"/>
      <c r="AE13" s="160"/>
      <c r="AF13" s="156"/>
      <c r="AG13" s="265"/>
      <c r="AH13" s="20">
        <f t="shared" si="0"/>
        <v>45.23</v>
      </c>
      <c r="AI13" s="88">
        <f t="shared" si="1"/>
        <v>30</v>
      </c>
      <c r="AJ13" s="34">
        <f t="shared" si="2"/>
        <v>15.229999999999997</v>
      </c>
      <c r="AK13" s="58">
        <f t="shared" si="3"/>
        <v>0.16372685185185185</v>
      </c>
      <c r="AL13" s="57">
        <f>SUM(AH8:AH13)</f>
        <v>121.43</v>
      </c>
      <c r="AM13" s="21">
        <f>SUM(AK8:AK13)</f>
        <v>0.4169328703703703</v>
      </c>
      <c r="AN13" s="19"/>
      <c r="AO13" s="36"/>
      <c r="AP13" s="18"/>
      <c r="AQ13" s="36"/>
      <c r="AR13" s="18"/>
      <c r="AS13" s="36"/>
      <c r="AT13" s="18"/>
      <c r="AU13" s="36"/>
      <c r="AV13" s="18"/>
      <c r="AW13" s="36"/>
      <c r="AX13" s="18"/>
      <c r="AY13" s="36"/>
      <c r="AZ13" s="18"/>
      <c r="BA13" s="36"/>
      <c r="BB13" s="18"/>
      <c r="BC13" s="36"/>
      <c r="BD13" s="18"/>
      <c r="BE13" s="36"/>
      <c r="BF13" s="18"/>
      <c r="BG13" s="38"/>
    </row>
    <row r="14" spans="1:59" x14ac:dyDescent="0.25">
      <c r="A14" s="10"/>
      <c r="B14" s="1" t="s">
        <v>0</v>
      </c>
      <c r="C14" s="81">
        <v>42786</v>
      </c>
      <c r="D14" s="81"/>
      <c r="E14" s="3">
        <v>10</v>
      </c>
      <c r="F14" s="54">
        <v>5.01</v>
      </c>
      <c r="G14" s="51"/>
      <c r="H14" s="52">
        <v>0.20833333333333334</v>
      </c>
      <c r="I14" s="159">
        <v>126</v>
      </c>
      <c r="J14" s="157">
        <v>135</v>
      </c>
      <c r="K14" s="258">
        <v>1.7407407407407406E-2</v>
      </c>
      <c r="L14" s="11"/>
      <c r="M14" s="50"/>
      <c r="N14" s="51"/>
      <c r="O14" s="52"/>
      <c r="P14" s="161"/>
      <c r="Q14" s="157"/>
      <c r="R14" s="26"/>
      <c r="S14" s="223"/>
      <c r="T14" s="26"/>
      <c r="U14" s="53"/>
      <c r="V14" s="54"/>
      <c r="W14" s="11"/>
      <c r="X14" s="50"/>
      <c r="Y14" s="161"/>
      <c r="Z14" s="157"/>
      <c r="AA14" s="263"/>
      <c r="AB14" s="11"/>
      <c r="AC14" s="11"/>
      <c r="AD14" s="52"/>
      <c r="AE14" s="161"/>
      <c r="AF14" s="157"/>
      <c r="AG14" s="233"/>
      <c r="AH14" s="13">
        <f t="shared" si="0"/>
        <v>5.01</v>
      </c>
      <c r="AI14" s="87">
        <f t="shared" si="1"/>
        <v>10</v>
      </c>
      <c r="AJ14" s="27">
        <f t="shared" si="2"/>
        <v>-4.99</v>
      </c>
      <c r="AK14" s="63">
        <f t="shared" si="3"/>
        <v>1.7407407407407406E-2</v>
      </c>
      <c r="AL14" s="59"/>
      <c r="AM14" s="51"/>
      <c r="AN14" s="3"/>
      <c r="AO14" s="9" t="e">
        <f>#REF!-AN14</f>
        <v>#REF!</v>
      </c>
      <c r="AQ14" s="9" t="e">
        <f>#REF!-AP14</f>
        <v>#REF!</v>
      </c>
      <c r="AS14" s="9" t="e">
        <f>#REF!-AR14</f>
        <v>#REF!</v>
      </c>
      <c r="AU14" s="9" t="e">
        <f>#REF!-AT14</f>
        <v>#REF!</v>
      </c>
      <c r="AV14"/>
      <c r="AW14" s="9" t="e">
        <f>#REF!-AV14</f>
        <v>#REF!</v>
      </c>
      <c r="AY14" s="9" t="e">
        <f>#REF!-AX14</f>
        <v>#REF!</v>
      </c>
      <c r="AZ14"/>
      <c r="BA14" s="9" t="e">
        <f>#REF!-AZ14</f>
        <v>#REF!</v>
      </c>
      <c r="BB14"/>
      <c r="BC14" s="9" t="e">
        <f>#REF!-BB14</f>
        <v>#REF!</v>
      </c>
      <c r="BD14"/>
      <c r="BE14" s="9" t="e">
        <f>#REF!-BD14</f>
        <v>#REF!</v>
      </c>
      <c r="BG14" s="37" t="e">
        <f>#REF!-BF14</f>
        <v>#REF!</v>
      </c>
    </row>
    <row r="15" spans="1:59" x14ac:dyDescent="0.25">
      <c r="A15" s="10"/>
      <c r="B15" s="1" t="s">
        <v>24</v>
      </c>
      <c r="C15" s="81">
        <v>42787</v>
      </c>
      <c r="D15" s="81"/>
      <c r="E15" s="3"/>
      <c r="F15" s="54"/>
      <c r="G15" s="51"/>
      <c r="H15" s="52"/>
      <c r="I15" s="161"/>
      <c r="J15" s="157"/>
      <c r="K15" s="258"/>
      <c r="L15" s="11">
        <v>6</v>
      </c>
      <c r="M15" s="50">
        <v>6.07</v>
      </c>
      <c r="N15" s="11"/>
      <c r="O15" s="52">
        <v>0.21388888888888891</v>
      </c>
      <c r="P15" s="161">
        <v>140</v>
      </c>
      <c r="Q15" s="157">
        <v>135</v>
      </c>
      <c r="R15" s="26">
        <v>2.1597222222222223E-2</v>
      </c>
      <c r="S15" s="223"/>
      <c r="T15" s="26"/>
      <c r="U15" s="53"/>
      <c r="V15" s="54"/>
      <c r="W15" s="11"/>
      <c r="X15" s="50"/>
      <c r="Y15" s="161"/>
      <c r="Z15" s="157"/>
      <c r="AA15" s="263"/>
      <c r="AB15" s="11">
        <v>7</v>
      </c>
      <c r="AC15" s="2">
        <v>0.16250000000000001</v>
      </c>
      <c r="AD15" s="52">
        <v>0.16458333333333333</v>
      </c>
      <c r="AE15" s="161">
        <v>170</v>
      </c>
      <c r="AF15" s="157">
        <v>142</v>
      </c>
      <c r="AG15" s="233">
        <v>1.9224537037037037E-2</v>
      </c>
      <c r="AH15" s="13">
        <f t="shared" si="0"/>
        <v>13.07</v>
      </c>
      <c r="AI15" s="87">
        <f t="shared" si="1"/>
        <v>13</v>
      </c>
      <c r="AJ15" s="27">
        <f t="shared" si="2"/>
        <v>7.0000000000000284E-2</v>
      </c>
      <c r="AK15" s="63">
        <f t="shared" si="3"/>
        <v>4.0821759259259259E-2</v>
      </c>
      <c r="AL15" s="59"/>
      <c r="AM15" s="51"/>
      <c r="AN15" s="3"/>
      <c r="AV15"/>
      <c r="AZ15"/>
      <c r="BB15"/>
      <c r="BD15"/>
      <c r="BG15" s="37"/>
    </row>
    <row r="16" spans="1:59" x14ac:dyDescent="0.25">
      <c r="A16" s="10">
        <v>8</v>
      </c>
      <c r="B16" s="1" t="s">
        <v>15</v>
      </c>
      <c r="C16" s="81">
        <v>42788</v>
      </c>
      <c r="D16" s="81"/>
      <c r="E16" s="3">
        <v>10</v>
      </c>
      <c r="F16" s="54">
        <v>10.45</v>
      </c>
      <c r="G16" s="51"/>
      <c r="H16" s="52">
        <v>0.19930555555555554</v>
      </c>
      <c r="I16" s="159">
        <v>126</v>
      </c>
      <c r="J16" s="157">
        <v>142</v>
      </c>
      <c r="K16" s="258">
        <v>3.4687500000000003E-2</v>
      </c>
      <c r="L16" s="11"/>
      <c r="M16" s="52"/>
      <c r="N16" s="51"/>
      <c r="O16" s="52"/>
      <c r="P16" s="161"/>
      <c r="Q16" s="157"/>
      <c r="R16" s="26"/>
      <c r="S16" s="223"/>
      <c r="T16" s="26"/>
      <c r="U16" s="53"/>
      <c r="V16" s="54"/>
      <c r="W16" s="11"/>
      <c r="X16" s="50"/>
      <c r="Y16" s="161"/>
      <c r="Z16" s="157"/>
      <c r="AA16" s="263"/>
      <c r="AB16" s="11"/>
      <c r="AC16" s="11"/>
      <c r="AD16" s="52"/>
      <c r="AE16" s="161"/>
      <c r="AF16" s="157"/>
      <c r="AG16" s="233"/>
      <c r="AH16" s="13">
        <f t="shared" si="0"/>
        <v>10.45</v>
      </c>
      <c r="AI16" s="87">
        <f t="shared" si="1"/>
        <v>10</v>
      </c>
      <c r="AJ16" s="27">
        <f t="shared" si="2"/>
        <v>0.44999999999999929</v>
      </c>
      <c r="AK16" s="63">
        <f t="shared" si="3"/>
        <v>3.4687500000000003E-2</v>
      </c>
      <c r="AL16" s="59"/>
      <c r="AM16" s="51"/>
      <c r="AN16" s="3"/>
      <c r="AO16" s="55"/>
      <c r="AP16" s="11"/>
      <c r="AQ16" s="55"/>
      <c r="AR16" s="11"/>
      <c r="AS16" s="55"/>
      <c r="AT16" s="11"/>
      <c r="AU16" s="55"/>
      <c r="AV16" s="11"/>
      <c r="AW16" s="55"/>
      <c r="AX16" s="11"/>
      <c r="AY16" s="55"/>
      <c r="AZ16" s="11"/>
      <c r="BA16" s="55"/>
      <c r="BB16" s="11"/>
      <c r="BC16" s="55"/>
      <c r="BD16" s="11"/>
      <c r="BE16" s="55"/>
      <c r="BF16" s="11"/>
      <c r="BG16" s="37"/>
    </row>
    <row r="17" spans="1:59" x14ac:dyDescent="0.25">
      <c r="A17" s="10"/>
      <c r="B17" s="1" t="s">
        <v>26</v>
      </c>
      <c r="C17" s="81">
        <v>42789</v>
      </c>
      <c r="D17" s="81"/>
      <c r="E17" s="189">
        <v>12</v>
      </c>
      <c r="F17" s="54">
        <v>10.29</v>
      </c>
      <c r="G17" s="2">
        <v>0.20555555555555557</v>
      </c>
      <c r="H17" s="52">
        <v>0.23472222222222219</v>
      </c>
      <c r="I17" s="161">
        <v>140</v>
      </c>
      <c r="J17" s="157">
        <v>163</v>
      </c>
      <c r="K17" s="258">
        <v>4.0312499999999994E-2</v>
      </c>
      <c r="L17" s="11"/>
      <c r="M17" s="52"/>
      <c r="N17" s="51"/>
      <c r="O17" s="52"/>
      <c r="P17" s="161"/>
      <c r="Q17" s="157"/>
      <c r="R17" s="26"/>
      <c r="S17" s="223"/>
      <c r="T17" s="26"/>
      <c r="U17" s="53"/>
      <c r="V17" s="54"/>
      <c r="W17" s="11"/>
      <c r="X17" s="50"/>
      <c r="Y17" s="161"/>
      <c r="Z17" s="157"/>
      <c r="AA17" s="263"/>
      <c r="AB17" s="11"/>
      <c r="AC17" s="11"/>
      <c r="AD17" s="52"/>
      <c r="AE17" s="161"/>
      <c r="AF17" s="157"/>
      <c r="AG17" s="233"/>
      <c r="AH17" s="13">
        <f t="shared" si="0"/>
        <v>10.29</v>
      </c>
      <c r="AI17" s="87">
        <f t="shared" si="1"/>
        <v>12</v>
      </c>
      <c r="AJ17" s="27">
        <f t="shared" si="2"/>
        <v>-1.7100000000000009</v>
      </c>
      <c r="AK17" s="63">
        <f t="shared" si="3"/>
        <v>4.0312499999999994E-2</v>
      </c>
      <c r="AL17" s="59"/>
      <c r="AM17" s="51"/>
      <c r="AN17" s="3"/>
      <c r="AO17" s="55"/>
      <c r="AP17" s="11"/>
      <c r="AQ17" s="55"/>
      <c r="AR17" s="11"/>
      <c r="AS17" s="55"/>
      <c r="AT17" s="11"/>
      <c r="AU17" s="55"/>
      <c r="AV17" s="11"/>
      <c r="AW17" s="55"/>
      <c r="AX17" s="11"/>
      <c r="AY17" s="55"/>
      <c r="AZ17" s="11"/>
      <c r="BA17" s="55"/>
      <c r="BB17" s="11"/>
      <c r="BC17" s="55"/>
      <c r="BD17" s="11"/>
      <c r="BE17" s="55"/>
      <c r="BF17" s="11"/>
      <c r="BG17" s="37"/>
    </row>
    <row r="18" spans="1:59" x14ac:dyDescent="0.25">
      <c r="A18" s="10"/>
      <c r="B18" s="1" t="s">
        <v>29</v>
      </c>
      <c r="C18" s="81">
        <v>42790</v>
      </c>
      <c r="D18" s="81"/>
      <c r="E18" s="3">
        <v>21</v>
      </c>
      <c r="F18" s="54">
        <v>21.29</v>
      </c>
      <c r="G18" s="2">
        <v>0.20555555555555557</v>
      </c>
      <c r="H18" s="52">
        <v>0.19513888888888889</v>
      </c>
      <c r="I18" s="161">
        <v>140</v>
      </c>
      <c r="J18" s="157">
        <v>126</v>
      </c>
      <c r="K18" s="258">
        <v>6.9328703703703712E-2</v>
      </c>
      <c r="L18" s="11"/>
      <c r="M18" s="52"/>
      <c r="N18" s="51"/>
      <c r="O18" s="52"/>
      <c r="P18" s="161"/>
      <c r="Q18" s="157"/>
      <c r="R18" s="26"/>
      <c r="S18" s="223"/>
      <c r="T18" s="26"/>
      <c r="U18" s="53"/>
      <c r="V18" s="54"/>
      <c r="W18" s="11"/>
      <c r="X18" s="50"/>
      <c r="Y18" s="161"/>
      <c r="Z18" s="157"/>
      <c r="AA18" s="263"/>
      <c r="AB18" s="11"/>
      <c r="AC18" s="11"/>
      <c r="AD18" s="52"/>
      <c r="AE18" s="161"/>
      <c r="AF18" s="157"/>
      <c r="AG18" s="233"/>
      <c r="AH18" s="13">
        <f t="shared" si="0"/>
        <v>21.29</v>
      </c>
      <c r="AI18" s="87">
        <f t="shared" si="1"/>
        <v>21</v>
      </c>
      <c r="AJ18" s="27">
        <f t="shared" si="2"/>
        <v>0.28999999999999915</v>
      </c>
      <c r="AK18" s="63">
        <f t="shared" si="3"/>
        <v>6.9328703703703712E-2</v>
      </c>
      <c r="AL18" s="59"/>
      <c r="AM18" s="51"/>
      <c r="AN18" s="3"/>
      <c r="AO18" s="55"/>
      <c r="AP18" s="11"/>
      <c r="AQ18" s="55"/>
      <c r="AR18" s="11"/>
      <c r="AS18" s="55"/>
      <c r="AT18" s="11"/>
      <c r="AU18" s="55"/>
      <c r="AV18" s="11"/>
      <c r="AW18" s="55"/>
      <c r="AX18" s="11"/>
      <c r="AY18" s="55"/>
      <c r="AZ18" s="11"/>
      <c r="BA18" s="55"/>
      <c r="BB18" s="11"/>
      <c r="BC18" s="55"/>
      <c r="BD18" s="11"/>
      <c r="BE18" s="55"/>
      <c r="BF18" s="11"/>
      <c r="BG18" s="37"/>
    </row>
    <row r="19" spans="1:59" x14ac:dyDescent="0.25">
      <c r="A19" s="56"/>
      <c r="B19" s="17" t="s">
        <v>27</v>
      </c>
      <c r="C19" s="85">
        <v>42792</v>
      </c>
      <c r="D19" s="85"/>
      <c r="E19" s="19">
        <v>32</v>
      </c>
      <c r="F19" s="42">
        <v>26.26</v>
      </c>
      <c r="G19" s="21">
        <v>0.20555555555555557</v>
      </c>
      <c r="H19" s="22">
        <v>0.20694444444444446</v>
      </c>
      <c r="I19" s="160">
        <v>140</v>
      </c>
      <c r="J19" s="156">
        <v>139</v>
      </c>
      <c r="K19" s="259">
        <v>4.8796296296296303E-2</v>
      </c>
      <c r="L19" s="18"/>
      <c r="M19" s="20"/>
      <c r="N19" s="18"/>
      <c r="O19" s="20"/>
      <c r="P19" s="160"/>
      <c r="Q19" s="156"/>
      <c r="R19" s="18"/>
      <c r="S19" s="224"/>
      <c r="T19" s="84"/>
      <c r="U19" s="31"/>
      <c r="V19" s="42"/>
      <c r="W19" s="18"/>
      <c r="X19" s="20"/>
      <c r="Y19" s="160"/>
      <c r="Z19" s="156"/>
      <c r="AA19" s="265"/>
      <c r="AB19" s="18"/>
      <c r="AC19" s="18"/>
      <c r="AD19" s="20"/>
      <c r="AE19" s="160"/>
      <c r="AF19" s="156"/>
      <c r="AG19" s="265"/>
      <c r="AH19" s="20">
        <f t="shared" si="0"/>
        <v>26.26</v>
      </c>
      <c r="AI19" s="88">
        <f t="shared" si="1"/>
        <v>32</v>
      </c>
      <c r="AJ19" s="34">
        <f t="shared" si="2"/>
        <v>-5.7399999999999984</v>
      </c>
      <c r="AK19" s="58">
        <f t="shared" si="3"/>
        <v>4.8796296296296303E-2</v>
      </c>
      <c r="AL19" s="57">
        <f>SUM(AH14:AH19)</f>
        <v>86.36999999999999</v>
      </c>
      <c r="AM19" s="21">
        <f>SUM(AK14:AK19)</f>
        <v>0.25135416666666666</v>
      </c>
      <c r="AN19" s="19"/>
      <c r="AO19" s="36"/>
      <c r="AP19" s="18"/>
      <c r="AQ19" s="36"/>
      <c r="AR19" s="18"/>
      <c r="AS19" s="36"/>
      <c r="AT19" s="18"/>
      <c r="AU19" s="36"/>
      <c r="AV19" s="18"/>
      <c r="AW19" s="36"/>
      <c r="AX19" s="18"/>
      <c r="AY19" s="36"/>
      <c r="AZ19" s="18"/>
      <c r="BA19" s="36"/>
      <c r="BB19" s="18"/>
      <c r="BC19" s="36"/>
      <c r="BD19" s="18"/>
      <c r="BE19" s="36"/>
      <c r="BF19" s="18"/>
      <c r="BG19" s="38"/>
    </row>
    <row r="20" spans="1:59" x14ac:dyDescent="0.25">
      <c r="A20" s="10"/>
      <c r="B20" s="1" t="s">
        <v>0</v>
      </c>
      <c r="C20" s="81">
        <v>42793</v>
      </c>
      <c r="D20" s="81"/>
      <c r="E20" s="3">
        <v>10</v>
      </c>
      <c r="F20" s="54">
        <v>10.130000000000001</v>
      </c>
      <c r="G20" s="2"/>
      <c r="H20" s="52">
        <v>0.20972222222222223</v>
      </c>
      <c r="I20" s="159">
        <v>126</v>
      </c>
      <c r="J20" s="157">
        <v>126</v>
      </c>
      <c r="K20" s="258">
        <v>3.5405092592592592E-2</v>
      </c>
      <c r="L20" s="11"/>
      <c r="M20" s="50"/>
      <c r="N20" s="11"/>
      <c r="O20" s="50"/>
      <c r="P20" s="161"/>
      <c r="Q20" s="157"/>
      <c r="R20" s="11"/>
      <c r="S20" s="223"/>
      <c r="T20" s="26"/>
      <c r="U20" s="53"/>
      <c r="V20" s="54"/>
      <c r="W20" s="11"/>
      <c r="X20" s="50"/>
      <c r="Y20" s="161"/>
      <c r="Z20" s="157"/>
      <c r="AA20" s="263"/>
      <c r="AB20" s="11"/>
      <c r="AC20" s="11"/>
      <c r="AD20" s="50"/>
      <c r="AE20" s="161"/>
      <c r="AF20" s="157"/>
      <c r="AG20" s="263"/>
      <c r="AH20" s="13">
        <f t="shared" si="0"/>
        <v>10.130000000000001</v>
      </c>
      <c r="AI20" s="87">
        <f t="shared" si="1"/>
        <v>10</v>
      </c>
      <c r="AJ20" s="27">
        <f t="shared" si="2"/>
        <v>0.13000000000000078</v>
      </c>
      <c r="AK20" s="63">
        <f t="shared" si="3"/>
        <v>3.5405092592592592E-2</v>
      </c>
      <c r="AL20" s="59"/>
      <c r="AM20" s="51"/>
      <c r="AN20" s="3"/>
      <c r="AO20" s="9" t="e">
        <f>#REF!-AN20</f>
        <v>#REF!</v>
      </c>
      <c r="AQ20" s="9" t="e">
        <f>#REF!-AP20</f>
        <v>#REF!</v>
      </c>
      <c r="AS20" s="9" t="e">
        <f>#REF!-AR20</f>
        <v>#REF!</v>
      </c>
      <c r="AU20" s="9" t="e">
        <f>#REF!-AT20</f>
        <v>#REF!</v>
      </c>
      <c r="AV20"/>
      <c r="AW20" s="9" t="e">
        <f>#REF!-AV20</f>
        <v>#REF!</v>
      </c>
      <c r="AY20" s="9" t="e">
        <f>#REF!-AX20</f>
        <v>#REF!</v>
      </c>
      <c r="AZ20"/>
      <c r="BA20" s="9" t="e">
        <f>#REF!-AZ20</f>
        <v>#REF!</v>
      </c>
      <c r="BB20"/>
      <c r="BC20" s="9" t="e">
        <f>#REF!-BB20</f>
        <v>#REF!</v>
      </c>
      <c r="BD20"/>
      <c r="BE20" s="9" t="e">
        <f>#REF!-BD20</f>
        <v>#REF!</v>
      </c>
      <c r="BG20" s="37" t="e">
        <f>#REF!-BF20</f>
        <v>#REF!</v>
      </c>
    </row>
    <row r="21" spans="1:59" x14ac:dyDescent="0.25">
      <c r="A21" s="10"/>
      <c r="B21" s="1" t="s">
        <v>24</v>
      </c>
      <c r="C21" s="81">
        <v>42794</v>
      </c>
      <c r="D21" s="81"/>
      <c r="E21" s="3">
        <v>10</v>
      </c>
      <c r="F21" s="54">
        <v>9.9700000000000006</v>
      </c>
      <c r="G21" s="2"/>
      <c r="H21" s="52">
        <v>0.20208333333333331</v>
      </c>
      <c r="I21" s="159">
        <v>126</v>
      </c>
      <c r="J21" s="157">
        <v>138</v>
      </c>
      <c r="K21" s="258">
        <v>3.3564814814814818E-2</v>
      </c>
      <c r="L21" s="11"/>
      <c r="M21" s="50"/>
      <c r="N21" s="51"/>
      <c r="O21" s="52"/>
      <c r="P21" s="161"/>
      <c r="Q21" s="157"/>
      <c r="R21" s="26"/>
      <c r="S21" s="223"/>
      <c r="T21" s="26"/>
      <c r="U21" s="53"/>
      <c r="V21" s="54"/>
      <c r="W21" s="11"/>
      <c r="X21" s="50"/>
      <c r="Y21" s="161"/>
      <c r="Z21" s="157"/>
      <c r="AA21" s="263"/>
      <c r="AB21" s="11"/>
      <c r="AC21" s="51"/>
      <c r="AD21" s="52"/>
      <c r="AE21" s="161"/>
      <c r="AF21" s="157"/>
      <c r="AG21" s="233"/>
      <c r="AH21" s="13">
        <f t="shared" si="0"/>
        <v>9.9700000000000006</v>
      </c>
      <c r="AI21" s="87">
        <f t="shared" si="1"/>
        <v>10</v>
      </c>
      <c r="AJ21" s="27">
        <f t="shared" si="2"/>
        <v>-2.9999999999999361E-2</v>
      </c>
      <c r="AK21" s="63">
        <f t="shared" si="3"/>
        <v>3.3564814814814818E-2</v>
      </c>
      <c r="AL21" s="59"/>
      <c r="AM21" s="51"/>
      <c r="AN21" s="3"/>
      <c r="AV21"/>
      <c r="AZ21"/>
      <c r="BB21"/>
      <c r="BD21"/>
      <c r="BG21" s="37"/>
    </row>
    <row r="22" spans="1:59" x14ac:dyDescent="0.25">
      <c r="A22" s="10">
        <v>9</v>
      </c>
      <c r="B22" s="1" t="s">
        <v>15</v>
      </c>
      <c r="C22" s="81">
        <v>42795</v>
      </c>
      <c r="D22" s="81"/>
      <c r="E22" s="3"/>
      <c r="F22" s="54"/>
      <c r="G22" s="51"/>
      <c r="H22" s="52"/>
      <c r="I22" s="161"/>
      <c r="J22" s="157"/>
      <c r="K22" s="258"/>
      <c r="L22" s="11">
        <v>3</v>
      </c>
      <c r="M22" s="50">
        <v>3.05</v>
      </c>
      <c r="N22" s="2"/>
      <c r="O22" s="52">
        <v>0.20416666666666669</v>
      </c>
      <c r="P22" s="161">
        <v>140</v>
      </c>
      <c r="Q22" s="157">
        <v>142</v>
      </c>
      <c r="R22" s="26">
        <v>1.037037037037037E-2</v>
      </c>
      <c r="S22" s="223"/>
      <c r="T22" s="26"/>
      <c r="U22" s="53"/>
      <c r="V22" s="54"/>
      <c r="W22" s="51"/>
      <c r="X22" s="52"/>
      <c r="Y22" s="161"/>
      <c r="Z22" s="157"/>
      <c r="AA22" s="233"/>
      <c r="AB22" s="11">
        <v>10</v>
      </c>
      <c r="AC22" s="11"/>
      <c r="AD22" s="52">
        <v>0.16458333333333333</v>
      </c>
      <c r="AE22" s="161">
        <v>184</v>
      </c>
      <c r="AF22" s="157">
        <v>161</v>
      </c>
      <c r="AG22" s="233">
        <v>2.7384259259259257E-2</v>
      </c>
      <c r="AH22" s="13">
        <f t="shared" si="0"/>
        <v>13.05</v>
      </c>
      <c r="AI22" s="87">
        <f t="shared" si="1"/>
        <v>13</v>
      </c>
      <c r="AJ22" s="27">
        <f t="shared" si="2"/>
        <v>5.0000000000000711E-2</v>
      </c>
      <c r="AK22" s="63">
        <f t="shared" si="3"/>
        <v>3.7754629629629624E-2</v>
      </c>
      <c r="AL22" s="59"/>
      <c r="AM22" s="51"/>
      <c r="AN22" s="3"/>
      <c r="AO22" s="55"/>
      <c r="AP22" s="11"/>
      <c r="AQ22" s="55"/>
      <c r="AR22" s="11"/>
      <c r="AS22" s="55"/>
      <c r="AT22" s="11"/>
      <c r="AU22" s="55"/>
      <c r="AV22" s="11"/>
      <c r="AW22" s="55"/>
      <c r="AX22" s="11"/>
      <c r="AY22" s="55"/>
      <c r="AZ22" s="11"/>
      <c r="BA22" s="55"/>
      <c r="BB22" s="11"/>
      <c r="BC22" s="55"/>
      <c r="BD22" s="11"/>
      <c r="BE22" s="55"/>
      <c r="BF22" s="11"/>
      <c r="BG22" s="37"/>
    </row>
    <row r="23" spans="1:59" x14ac:dyDescent="0.25">
      <c r="A23" s="10"/>
      <c r="B23" s="1" t="s">
        <v>26</v>
      </c>
      <c r="C23" s="81">
        <v>42796</v>
      </c>
      <c r="D23" s="81"/>
      <c r="E23" s="3">
        <v>10</v>
      </c>
      <c r="F23" s="54">
        <v>10.119999999999999</v>
      </c>
      <c r="G23" s="2">
        <v>0.20555555555555557</v>
      </c>
      <c r="H23" s="52">
        <v>0.20138888888888887</v>
      </c>
      <c r="I23" s="161">
        <v>140</v>
      </c>
      <c r="J23" s="157">
        <v>126</v>
      </c>
      <c r="K23" s="258">
        <v>3.3993055555555561E-2</v>
      </c>
      <c r="L23" s="11"/>
      <c r="M23" s="50"/>
      <c r="N23" s="2"/>
      <c r="O23" s="52"/>
      <c r="P23" s="161"/>
      <c r="Q23" s="157"/>
      <c r="R23" s="26"/>
      <c r="S23" s="223"/>
      <c r="T23" s="26"/>
      <c r="U23" s="53"/>
      <c r="V23" s="54"/>
      <c r="W23" s="51"/>
      <c r="X23" s="52"/>
      <c r="Y23" s="161"/>
      <c r="Z23" s="157"/>
      <c r="AA23" s="233"/>
      <c r="AB23" s="11"/>
      <c r="AC23" s="11"/>
      <c r="AD23" s="50"/>
      <c r="AE23" s="161"/>
      <c r="AF23" s="157"/>
      <c r="AG23" s="263"/>
      <c r="AH23" s="13">
        <f t="shared" si="0"/>
        <v>10.119999999999999</v>
      </c>
      <c r="AI23" s="87">
        <f t="shared" si="1"/>
        <v>10</v>
      </c>
      <c r="AJ23" s="27">
        <f t="shared" si="2"/>
        <v>0.11999999999999922</v>
      </c>
      <c r="AK23" s="63">
        <f t="shared" si="3"/>
        <v>3.3993055555555561E-2</v>
      </c>
      <c r="AL23" s="59"/>
      <c r="AM23" s="51"/>
      <c r="AN23" s="3"/>
      <c r="AO23" s="55"/>
      <c r="AP23" s="11"/>
      <c r="AQ23" s="55"/>
      <c r="AR23" s="11"/>
      <c r="AS23" s="55"/>
      <c r="AT23" s="11"/>
      <c r="AU23" s="55"/>
      <c r="AV23" s="11"/>
      <c r="AW23" s="55"/>
      <c r="AX23" s="11"/>
      <c r="AY23" s="55"/>
      <c r="AZ23" s="11"/>
      <c r="BA23" s="55"/>
      <c r="BB23" s="11"/>
      <c r="BC23" s="55"/>
      <c r="BD23" s="11"/>
      <c r="BE23" s="55"/>
      <c r="BF23" s="11"/>
      <c r="BG23" s="37"/>
    </row>
    <row r="24" spans="1:59" x14ac:dyDescent="0.25">
      <c r="A24" s="10"/>
      <c r="B24" s="1" t="s">
        <v>29</v>
      </c>
      <c r="C24" s="81">
        <v>42797</v>
      </c>
      <c r="D24" s="81"/>
      <c r="E24" s="3">
        <v>14</v>
      </c>
      <c r="F24" s="54">
        <v>22.51</v>
      </c>
      <c r="G24" s="2">
        <v>0.20555555555555557</v>
      </c>
      <c r="H24" s="52">
        <v>0.19652777777777777</v>
      </c>
      <c r="I24" s="161">
        <v>140</v>
      </c>
      <c r="J24" s="157">
        <v>136</v>
      </c>
      <c r="K24" s="258">
        <v>7.3645833333333341E-2</v>
      </c>
      <c r="L24" s="11"/>
      <c r="M24" s="50"/>
      <c r="N24" s="2"/>
      <c r="O24" s="52"/>
      <c r="P24" s="161"/>
      <c r="Q24" s="157"/>
      <c r="R24" s="26"/>
      <c r="S24" s="223"/>
      <c r="T24" s="26"/>
      <c r="U24" s="53"/>
      <c r="V24" s="54"/>
      <c r="W24" s="51"/>
      <c r="X24" s="52"/>
      <c r="Y24" s="161"/>
      <c r="Z24" s="157"/>
      <c r="AA24" s="233"/>
      <c r="AB24" s="11"/>
      <c r="AC24" s="11"/>
      <c r="AD24" s="50"/>
      <c r="AE24" s="161"/>
      <c r="AF24" s="157"/>
      <c r="AG24" s="263"/>
      <c r="AH24" s="13">
        <f t="shared" si="0"/>
        <v>22.51</v>
      </c>
      <c r="AI24" s="87">
        <f t="shared" si="1"/>
        <v>14</v>
      </c>
      <c r="AJ24" s="27">
        <f t="shared" si="2"/>
        <v>8.5100000000000016</v>
      </c>
      <c r="AK24" s="63">
        <f t="shared" si="3"/>
        <v>7.3645833333333341E-2</v>
      </c>
      <c r="AL24" s="59"/>
      <c r="AM24" s="51"/>
      <c r="AN24" s="3"/>
      <c r="AO24" s="55"/>
      <c r="AP24" s="11"/>
      <c r="AQ24" s="55"/>
      <c r="AR24" s="11"/>
      <c r="AS24" s="55"/>
      <c r="AT24" s="11"/>
      <c r="AU24" s="55"/>
      <c r="AV24" s="11"/>
      <c r="AW24" s="55"/>
      <c r="AX24" s="11"/>
      <c r="AY24" s="55"/>
      <c r="AZ24" s="11"/>
      <c r="BA24" s="55"/>
      <c r="BB24" s="11"/>
      <c r="BC24" s="55"/>
      <c r="BD24" s="11"/>
      <c r="BE24" s="55"/>
      <c r="BF24" s="11"/>
      <c r="BG24" s="37"/>
    </row>
    <row r="25" spans="1:59" x14ac:dyDescent="0.25">
      <c r="A25" s="56"/>
      <c r="B25" s="17" t="s">
        <v>27</v>
      </c>
      <c r="C25" s="85">
        <v>42799</v>
      </c>
      <c r="D25" s="85"/>
      <c r="E25" s="19">
        <v>24</v>
      </c>
      <c r="F25" s="42">
        <v>15.36</v>
      </c>
      <c r="G25" s="21">
        <v>0.20555555555555557</v>
      </c>
      <c r="H25" s="22">
        <v>0.1986111111111111</v>
      </c>
      <c r="I25" s="160">
        <v>140</v>
      </c>
      <c r="J25" s="156">
        <v>143</v>
      </c>
      <c r="K25" s="259">
        <v>5.0821759259259254E-2</v>
      </c>
      <c r="L25" s="18"/>
      <c r="M25" s="20"/>
      <c r="N25" s="18"/>
      <c r="O25" s="20"/>
      <c r="P25" s="160"/>
      <c r="Q25" s="156"/>
      <c r="R25" s="18"/>
      <c r="S25" s="224"/>
      <c r="T25" s="84"/>
      <c r="U25" s="31"/>
      <c r="V25" s="42"/>
      <c r="W25" s="21"/>
      <c r="X25" s="22"/>
      <c r="Y25" s="160"/>
      <c r="Z25" s="156"/>
      <c r="AA25" s="266"/>
      <c r="AB25" s="18"/>
      <c r="AC25" s="18"/>
      <c r="AD25" s="20"/>
      <c r="AE25" s="160"/>
      <c r="AF25" s="156"/>
      <c r="AG25" s="266"/>
      <c r="AH25" s="20">
        <f t="shared" si="0"/>
        <v>15.36</v>
      </c>
      <c r="AI25" s="88">
        <f t="shared" si="1"/>
        <v>24</v>
      </c>
      <c r="AJ25" s="34">
        <f t="shared" si="2"/>
        <v>-8.64</v>
      </c>
      <c r="AK25" s="58">
        <f t="shared" si="3"/>
        <v>5.0821759259259254E-2</v>
      </c>
      <c r="AL25" s="57">
        <f>SUM(AH20:AH25)</f>
        <v>81.14</v>
      </c>
      <c r="AM25" s="21">
        <f>SUM(AK20:AK25)</f>
        <v>0.26518518518518519</v>
      </c>
      <c r="AN25" s="19"/>
      <c r="AO25" s="36"/>
      <c r="AP25" s="18"/>
      <c r="AQ25" s="36"/>
      <c r="AR25" s="18"/>
      <c r="AS25" s="36"/>
      <c r="AT25" s="18"/>
      <c r="AU25" s="36"/>
      <c r="AV25" s="18"/>
      <c r="AW25" s="36"/>
      <c r="AX25" s="18"/>
      <c r="AY25" s="36"/>
      <c r="AZ25" s="18"/>
      <c r="BA25" s="36"/>
      <c r="BB25" s="18"/>
      <c r="BC25" s="36"/>
      <c r="BD25" s="18"/>
      <c r="BE25" s="36"/>
      <c r="BF25" s="18"/>
      <c r="BG25" s="38"/>
    </row>
    <row r="26" spans="1:59" x14ac:dyDescent="0.25">
      <c r="A26" s="10"/>
      <c r="B26" s="1" t="s">
        <v>0</v>
      </c>
      <c r="C26" s="81">
        <v>42800</v>
      </c>
      <c r="D26" s="81"/>
      <c r="E26" s="3">
        <v>10</v>
      </c>
      <c r="F26" s="54">
        <v>10.050000000000001</v>
      </c>
      <c r="G26" s="2"/>
      <c r="H26" s="52">
        <v>0.20347222222222219</v>
      </c>
      <c r="I26" s="159">
        <v>126</v>
      </c>
      <c r="J26" s="157">
        <v>138</v>
      </c>
      <c r="K26" s="258">
        <v>3.4050925925925922E-2</v>
      </c>
      <c r="L26" s="11"/>
      <c r="M26" s="50"/>
      <c r="N26" s="51"/>
      <c r="O26" s="52"/>
      <c r="P26" s="161"/>
      <c r="Q26" s="157"/>
      <c r="R26" s="26"/>
      <c r="S26" s="223"/>
      <c r="T26" s="26"/>
      <c r="U26" s="53"/>
      <c r="V26" s="54"/>
      <c r="W26" s="11"/>
      <c r="X26" s="50"/>
      <c r="Y26" s="161"/>
      <c r="Z26" s="157"/>
      <c r="AA26" s="263"/>
      <c r="AB26" s="11"/>
      <c r="AC26" s="11"/>
      <c r="AD26" s="52"/>
      <c r="AE26" s="161"/>
      <c r="AF26" s="157"/>
      <c r="AG26" s="233"/>
      <c r="AH26" s="13">
        <f t="shared" si="0"/>
        <v>10.050000000000001</v>
      </c>
      <c r="AI26" s="87">
        <f t="shared" si="1"/>
        <v>10</v>
      </c>
      <c r="AJ26" s="27">
        <f t="shared" si="2"/>
        <v>5.0000000000000711E-2</v>
      </c>
      <c r="AK26" s="63">
        <f t="shared" si="3"/>
        <v>3.4050925925925922E-2</v>
      </c>
      <c r="AL26" s="59"/>
      <c r="AM26" s="51"/>
      <c r="AN26" s="3"/>
      <c r="AO26" s="9" t="e">
        <f>#REF!-AN26</f>
        <v>#REF!</v>
      </c>
      <c r="AQ26" s="9" t="e">
        <f>#REF!-AP26</f>
        <v>#REF!</v>
      </c>
      <c r="AS26" s="9" t="e">
        <f>#REF!-AR26</f>
        <v>#REF!</v>
      </c>
      <c r="AU26" s="9" t="e">
        <f>#REF!-AT26</f>
        <v>#REF!</v>
      </c>
      <c r="AV26"/>
      <c r="AW26" s="9" t="e">
        <f>#REF!-AV26</f>
        <v>#REF!</v>
      </c>
      <c r="AY26" s="9" t="e">
        <f>#REF!-AX26</f>
        <v>#REF!</v>
      </c>
      <c r="AZ26"/>
      <c r="BA26" s="9" t="e">
        <f>#REF!-AZ26</f>
        <v>#REF!</v>
      </c>
      <c r="BB26"/>
      <c r="BC26" s="9" t="e">
        <f>#REF!-BB26</f>
        <v>#REF!</v>
      </c>
      <c r="BD26"/>
      <c r="BE26" s="9" t="e">
        <f>#REF!-BD26</f>
        <v>#REF!</v>
      </c>
      <c r="BG26" s="37" t="e">
        <f>#REF!-BF26</f>
        <v>#REF!</v>
      </c>
    </row>
    <row r="27" spans="1:59" x14ac:dyDescent="0.25">
      <c r="A27" s="10"/>
      <c r="B27" s="1" t="s">
        <v>24</v>
      </c>
      <c r="C27" s="81">
        <v>42801</v>
      </c>
      <c r="D27" s="81"/>
      <c r="E27" s="3"/>
      <c r="F27" s="54"/>
      <c r="G27" s="2"/>
      <c r="H27" s="52"/>
      <c r="I27" s="161"/>
      <c r="J27" s="157"/>
      <c r="K27" s="258"/>
      <c r="L27" s="11">
        <v>6</v>
      </c>
      <c r="M27" s="50">
        <v>5.84</v>
      </c>
      <c r="N27" s="11"/>
      <c r="O27" s="52">
        <v>0.19791666666666666</v>
      </c>
      <c r="P27" s="161">
        <v>140</v>
      </c>
      <c r="Q27" s="157">
        <v>134</v>
      </c>
      <c r="R27" s="26">
        <v>1.9282407407407408E-2</v>
      </c>
      <c r="S27" s="223"/>
      <c r="T27" s="26"/>
      <c r="U27" s="53"/>
      <c r="V27" s="54"/>
      <c r="W27" s="11"/>
      <c r="X27" s="50"/>
      <c r="Y27" s="161"/>
      <c r="Z27" s="157"/>
      <c r="AA27" s="263"/>
      <c r="AB27" s="11">
        <v>9</v>
      </c>
      <c r="AC27" s="2">
        <v>0.16250000000000001</v>
      </c>
      <c r="AD27" s="52">
        <v>0.16805555555555554</v>
      </c>
      <c r="AE27" s="161">
        <v>170</v>
      </c>
      <c r="AF27" s="157">
        <v>138</v>
      </c>
      <c r="AG27" s="233">
        <v>2.5312500000000002E-2</v>
      </c>
      <c r="AH27" s="13">
        <f t="shared" si="0"/>
        <v>14.84</v>
      </c>
      <c r="AI27" s="87">
        <f t="shared" si="1"/>
        <v>15</v>
      </c>
      <c r="AJ27" s="27">
        <f t="shared" si="2"/>
        <v>-0.16000000000000014</v>
      </c>
      <c r="AK27" s="63">
        <f t="shared" si="3"/>
        <v>4.4594907407407409E-2</v>
      </c>
      <c r="AL27" s="59"/>
      <c r="AM27" s="51"/>
      <c r="AN27" s="3"/>
      <c r="AV27"/>
      <c r="AZ27"/>
      <c r="BB27"/>
      <c r="BD27"/>
      <c r="BG27" s="37"/>
    </row>
    <row r="28" spans="1:59" x14ac:dyDescent="0.25">
      <c r="A28" s="10">
        <v>10</v>
      </c>
      <c r="B28" s="1" t="s">
        <v>15</v>
      </c>
      <c r="C28" s="81">
        <v>42802</v>
      </c>
      <c r="D28" s="81"/>
      <c r="E28" s="3">
        <v>10</v>
      </c>
      <c r="F28" s="54">
        <v>10.18</v>
      </c>
      <c r="G28" s="51"/>
      <c r="H28" s="52">
        <v>0.2076388888888889</v>
      </c>
      <c r="I28" s="159">
        <v>126</v>
      </c>
      <c r="J28" s="157">
        <v>138</v>
      </c>
      <c r="K28" s="258">
        <v>3.5254629629629629E-2</v>
      </c>
      <c r="L28" s="11"/>
      <c r="M28" s="50"/>
      <c r="N28" s="2"/>
      <c r="O28" s="52"/>
      <c r="P28" s="161"/>
      <c r="Q28" s="157"/>
      <c r="R28" s="26"/>
      <c r="S28" s="223"/>
      <c r="T28" s="26"/>
      <c r="U28" s="53"/>
      <c r="V28" s="54"/>
      <c r="W28" s="51"/>
      <c r="X28" s="52"/>
      <c r="Y28" s="161"/>
      <c r="Z28" s="157"/>
      <c r="AA28" s="233"/>
      <c r="AB28" s="11"/>
      <c r="AC28" s="11"/>
      <c r="AD28" s="52"/>
      <c r="AE28" s="161"/>
      <c r="AF28" s="157"/>
      <c r="AG28" s="263"/>
      <c r="AH28" s="13">
        <f t="shared" si="0"/>
        <v>10.18</v>
      </c>
      <c r="AI28" s="87">
        <f t="shared" si="1"/>
        <v>10</v>
      </c>
      <c r="AJ28" s="27">
        <f t="shared" si="2"/>
        <v>0.17999999999999972</v>
      </c>
      <c r="AK28" s="63">
        <f t="shared" si="3"/>
        <v>3.5254629629629629E-2</v>
      </c>
      <c r="AL28" s="59"/>
      <c r="AM28" s="51"/>
      <c r="AN28" s="3"/>
      <c r="AO28" s="55"/>
      <c r="AP28" s="11"/>
      <c r="AQ28" s="55"/>
      <c r="AR28" s="11"/>
      <c r="AS28" s="55"/>
      <c r="AT28" s="11"/>
      <c r="AU28" s="55"/>
      <c r="AV28" s="11"/>
      <c r="AW28" s="55"/>
      <c r="AX28" s="11"/>
      <c r="AY28" s="55"/>
      <c r="AZ28" s="11"/>
      <c r="BA28" s="55"/>
      <c r="BB28" s="11"/>
      <c r="BC28" s="55"/>
      <c r="BD28" s="11"/>
      <c r="BE28" s="55"/>
      <c r="BF28" s="11"/>
      <c r="BG28" s="37"/>
    </row>
    <row r="29" spans="1:59" x14ac:dyDescent="0.25">
      <c r="A29" s="10"/>
      <c r="B29" s="1" t="s">
        <v>26</v>
      </c>
      <c r="C29" s="81">
        <v>42803</v>
      </c>
      <c r="D29" s="81"/>
      <c r="E29" s="3">
        <v>12</v>
      </c>
      <c r="F29" s="54">
        <v>12.03</v>
      </c>
      <c r="G29" s="2">
        <v>0.20555555555555557</v>
      </c>
      <c r="H29" s="52">
        <v>0.20138888888888887</v>
      </c>
      <c r="I29" s="161">
        <v>140</v>
      </c>
      <c r="J29" s="157">
        <v>145</v>
      </c>
      <c r="K29" s="258">
        <v>4.0381944444444443E-2</v>
      </c>
      <c r="L29" s="11"/>
      <c r="M29" s="50"/>
      <c r="N29" s="2"/>
      <c r="O29" s="52"/>
      <c r="P29" s="161"/>
      <c r="Q29" s="157"/>
      <c r="R29" s="26"/>
      <c r="S29" s="223"/>
      <c r="T29" s="26"/>
      <c r="U29" s="53"/>
      <c r="V29" s="54"/>
      <c r="W29" s="51"/>
      <c r="X29" s="52"/>
      <c r="Y29" s="161"/>
      <c r="Z29" s="157"/>
      <c r="AA29" s="233"/>
      <c r="AB29" s="11"/>
      <c r="AC29" s="11"/>
      <c r="AD29" s="52"/>
      <c r="AE29" s="161"/>
      <c r="AF29" s="157"/>
      <c r="AG29" s="263"/>
      <c r="AH29" s="13">
        <f t="shared" si="0"/>
        <v>12.03</v>
      </c>
      <c r="AI29" s="87">
        <f t="shared" si="1"/>
        <v>12</v>
      </c>
      <c r="AJ29" s="27">
        <f t="shared" si="2"/>
        <v>2.9999999999999361E-2</v>
      </c>
      <c r="AK29" s="63">
        <f t="shared" si="3"/>
        <v>4.0381944444444443E-2</v>
      </c>
      <c r="AL29" s="59"/>
      <c r="AM29" s="51"/>
      <c r="AN29" s="3"/>
      <c r="AO29" s="55"/>
      <c r="AP29" s="11"/>
      <c r="AQ29" s="55"/>
      <c r="AR29" s="11"/>
      <c r="AS29" s="55"/>
      <c r="AT29" s="11"/>
      <c r="AU29" s="55"/>
      <c r="AV29" s="11"/>
      <c r="AW29" s="55"/>
      <c r="AX29" s="11"/>
      <c r="AY29" s="55"/>
      <c r="AZ29" s="11"/>
      <c r="BA29" s="55"/>
      <c r="BB29" s="11"/>
      <c r="BC29" s="55"/>
      <c r="BD29" s="11"/>
      <c r="BE29" s="55"/>
      <c r="BF29" s="11"/>
      <c r="BG29" s="37"/>
    </row>
    <row r="30" spans="1:59" x14ac:dyDescent="0.25">
      <c r="A30" s="10"/>
      <c r="B30" s="1" t="s">
        <v>29</v>
      </c>
      <c r="C30" s="81">
        <v>42804</v>
      </c>
      <c r="D30" s="81"/>
      <c r="E30" s="3">
        <v>21</v>
      </c>
      <c r="F30" s="54">
        <v>32.01</v>
      </c>
      <c r="G30" s="2">
        <v>0.20555555555555557</v>
      </c>
      <c r="H30" s="52">
        <v>0.19583333333333333</v>
      </c>
      <c r="I30" s="161">
        <v>140</v>
      </c>
      <c r="J30" s="157">
        <v>155</v>
      </c>
      <c r="K30" s="258">
        <v>0.10429398148148149</v>
      </c>
      <c r="L30" s="11"/>
      <c r="M30" s="50"/>
      <c r="N30" s="2"/>
      <c r="O30" s="52"/>
      <c r="P30" s="161"/>
      <c r="Q30" s="157"/>
      <c r="R30" s="26"/>
      <c r="S30" s="223"/>
      <c r="T30" s="26"/>
      <c r="U30" s="53"/>
      <c r="V30" s="54"/>
      <c r="W30" s="51"/>
      <c r="X30" s="52"/>
      <c r="Y30" s="161"/>
      <c r="Z30" s="157"/>
      <c r="AA30" s="233"/>
      <c r="AB30" s="11"/>
      <c r="AC30" s="51"/>
      <c r="AD30" s="52"/>
      <c r="AE30" s="161"/>
      <c r="AF30" s="157"/>
      <c r="AG30" s="233"/>
      <c r="AH30" s="13">
        <f t="shared" si="0"/>
        <v>32.01</v>
      </c>
      <c r="AI30" s="87">
        <f t="shared" si="1"/>
        <v>21</v>
      </c>
      <c r="AJ30" s="27">
        <f t="shared" si="2"/>
        <v>11.009999999999998</v>
      </c>
      <c r="AK30" s="63">
        <f t="shared" si="3"/>
        <v>0.10429398148148149</v>
      </c>
      <c r="AL30" s="59"/>
      <c r="AM30" s="51"/>
      <c r="AN30" s="3"/>
      <c r="AO30" s="55"/>
      <c r="AP30" s="11"/>
      <c r="AQ30" s="55"/>
      <c r="AR30" s="11"/>
      <c r="AS30" s="55"/>
      <c r="AT30" s="11"/>
      <c r="AU30" s="55"/>
      <c r="AV30" s="11"/>
      <c r="AW30" s="55"/>
      <c r="AX30" s="11"/>
      <c r="AY30" s="55"/>
      <c r="AZ30" s="11"/>
      <c r="BA30" s="55"/>
      <c r="BB30" s="11"/>
      <c r="BC30" s="55"/>
      <c r="BD30" s="11"/>
      <c r="BE30" s="55"/>
      <c r="BF30" s="11"/>
      <c r="BG30" s="37"/>
    </row>
    <row r="31" spans="1:59" x14ac:dyDescent="0.25">
      <c r="A31" s="56"/>
      <c r="B31" s="17" t="s">
        <v>27</v>
      </c>
      <c r="C31" s="85">
        <v>42806</v>
      </c>
      <c r="D31" s="85"/>
      <c r="E31" s="19">
        <v>32</v>
      </c>
      <c r="F31" s="42">
        <v>21.11</v>
      </c>
      <c r="G31" s="21">
        <v>0.20555555555555557</v>
      </c>
      <c r="H31" s="22">
        <v>0.19305555555555554</v>
      </c>
      <c r="I31" s="160">
        <v>140</v>
      </c>
      <c r="J31" s="156">
        <v>138</v>
      </c>
      <c r="K31" s="259">
        <v>6.7986111111111108E-2</v>
      </c>
      <c r="L31" s="18"/>
      <c r="M31" s="20"/>
      <c r="N31" s="18"/>
      <c r="O31" s="20"/>
      <c r="P31" s="160"/>
      <c r="Q31" s="156"/>
      <c r="R31" s="18"/>
      <c r="S31" s="224"/>
      <c r="T31" s="84"/>
      <c r="U31" s="31"/>
      <c r="V31" s="42"/>
      <c r="W31" s="21"/>
      <c r="X31" s="22"/>
      <c r="Y31" s="160"/>
      <c r="Z31" s="156"/>
      <c r="AA31" s="265"/>
      <c r="AB31" s="18"/>
      <c r="AC31" s="21"/>
      <c r="AD31" s="22"/>
      <c r="AE31" s="160"/>
      <c r="AF31" s="156"/>
      <c r="AG31" s="266"/>
      <c r="AH31" s="20">
        <f t="shared" ref="AH31:AH47" si="4">F31+M31+V31+AB31+S31</f>
        <v>21.11</v>
      </c>
      <c r="AI31" s="88">
        <f t="shared" ref="AI31:AI48" si="5">E31+L31+V31+AB31+S31</f>
        <v>32</v>
      </c>
      <c r="AJ31" s="34">
        <f t="shared" si="2"/>
        <v>-10.89</v>
      </c>
      <c r="AK31" s="58">
        <f t="shared" ref="AK31:AK48" si="6">K31+R31+AA31+AG31+T31</f>
        <v>6.7986111111111108E-2</v>
      </c>
      <c r="AL31" s="57">
        <f>SUM(AH26:AH31)</f>
        <v>100.22</v>
      </c>
      <c r="AM31" s="21">
        <f>SUM(AK26:AK31)</f>
        <v>0.32656249999999998</v>
      </c>
      <c r="AN31" s="19"/>
      <c r="AO31" s="36"/>
      <c r="AP31" s="18"/>
      <c r="AQ31" s="36"/>
      <c r="AR31" s="18"/>
      <c r="AS31" s="36"/>
      <c r="AT31" s="18"/>
      <c r="AU31" s="36"/>
      <c r="AV31" s="18"/>
      <c r="AW31" s="36"/>
      <c r="AX31" s="18"/>
      <c r="AY31" s="36"/>
      <c r="AZ31" s="18"/>
      <c r="BA31" s="36"/>
      <c r="BB31" s="18"/>
      <c r="BC31" s="36"/>
      <c r="BD31" s="18"/>
      <c r="BE31" s="36"/>
      <c r="BF31" s="18"/>
      <c r="BG31" s="38"/>
    </row>
    <row r="32" spans="1:59" x14ac:dyDescent="0.25">
      <c r="A32" s="10"/>
      <c r="B32" s="1" t="s">
        <v>0</v>
      </c>
      <c r="C32" s="81">
        <v>42807</v>
      </c>
      <c r="D32" s="81"/>
      <c r="E32" s="3">
        <v>10</v>
      </c>
      <c r="F32" s="54">
        <v>10.63</v>
      </c>
      <c r="G32" s="2"/>
      <c r="H32" s="52">
        <v>0.21319444444444444</v>
      </c>
      <c r="I32" s="159">
        <v>126</v>
      </c>
      <c r="J32" s="157">
        <v>136</v>
      </c>
      <c r="K32" s="258">
        <v>3.7789351851851852E-2</v>
      </c>
      <c r="L32" s="11"/>
      <c r="M32" s="50"/>
      <c r="N32" s="11"/>
      <c r="O32" s="50"/>
      <c r="P32" s="161"/>
      <c r="Q32" s="157"/>
      <c r="R32" s="11"/>
      <c r="S32" s="223"/>
      <c r="T32" s="26"/>
      <c r="U32" s="53"/>
      <c r="V32" s="54"/>
      <c r="W32" s="51"/>
      <c r="X32" s="52"/>
      <c r="Y32" s="161"/>
      <c r="Z32" s="157"/>
      <c r="AA32" s="233"/>
      <c r="AB32" s="11"/>
      <c r="AC32" s="11"/>
      <c r="AD32" s="50"/>
      <c r="AE32" s="161"/>
      <c r="AF32" s="157"/>
      <c r="AG32" s="263"/>
      <c r="AH32" s="188">
        <f t="shared" si="4"/>
        <v>10.63</v>
      </c>
      <c r="AI32" s="87">
        <f t="shared" si="5"/>
        <v>10</v>
      </c>
      <c r="AJ32" s="27">
        <f t="shared" si="2"/>
        <v>0.63000000000000078</v>
      </c>
      <c r="AK32" s="63">
        <f t="shared" si="6"/>
        <v>3.7789351851851852E-2</v>
      </c>
      <c r="AL32" s="59"/>
      <c r="AM32" s="51"/>
      <c r="AN32" s="3"/>
      <c r="AO32" s="9" t="e">
        <f>#REF!-AN32</f>
        <v>#REF!</v>
      </c>
      <c r="AQ32" s="9" t="e">
        <f>#REF!-AP32</f>
        <v>#REF!</v>
      </c>
      <c r="AS32" s="9" t="e">
        <f>#REF!-AR32</f>
        <v>#REF!</v>
      </c>
      <c r="AU32" s="9" t="e">
        <f>#REF!-AT32</f>
        <v>#REF!</v>
      </c>
      <c r="AV32"/>
      <c r="AW32" s="9" t="e">
        <f>#REF!-AV32</f>
        <v>#REF!</v>
      </c>
      <c r="AY32" s="9" t="e">
        <f>#REF!-AX32</f>
        <v>#REF!</v>
      </c>
      <c r="AZ32"/>
      <c r="BA32" s="9" t="e">
        <f>#REF!-AZ32</f>
        <v>#REF!</v>
      </c>
      <c r="BB32"/>
      <c r="BC32" s="9" t="e">
        <f>#REF!-BB32</f>
        <v>#REF!</v>
      </c>
      <c r="BD32"/>
      <c r="BE32" s="9" t="e">
        <f>#REF!-BD32</f>
        <v>#REF!</v>
      </c>
      <c r="BG32" s="37" t="e">
        <f>#REF!-BF32</f>
        <v>#REF!</v>
      </c>
    </row>
    <row r="33" spans="1:59" x14ac:dyDescent="0.25">
      <c r="A33" s="10"/>
      <c r="B33" s="1" t="s">
        <v>24</v>
      </c>
      <c r="C33" s="81">
        <v>42808</v>
      </c>
      <c r="D33" s="81"/>
      <c r="E33" s="3"/>
      <c r="F33" s="54"/>
      <c r="G33" s="2"/>
      <c r="H33" s="52"/>
      <c r="I33" s="161"/>
      <c r="J33" s="157"/>
      <c r="K33" s="258"/>
      <c r="L33" s="11">
        <v>4</v>
      </c>
      <c r="M33" s="50">
        <v>4.05</v>
      </c>
      <c r="N33" s="11"/>
      <c r="O33" s="52">
        <v>0.20694444444444446</v>
      </c>
      <c r="P33" s="161">
        <v>140</v>
      </c>
      <c r="Q33" s="157">
        <v>148</v>
      </c>
      <c r="R33" s="26">
        <v>1.3935185185185184E-2</v>
      </c>
      <c r="S33" s="223"/>
      <c r="T33" s="26"/>
      <c r="U33" s="53"/>
      <c r="V33" s="54"/>
      <c r="W33" s="51"/>
      <c r="X33" s="52"/>
      <c r="Y33" s="161"/>
      <c r="Z33" s="157"/>
      <c r="AA33" s="233"/>
      <c r="AB33" s="11">
        <v>9</v>
      </c>
      <c r="AC33" s="51">
        <v>0.17430555555555557</v>
      </c>
      <c r="AD33" s="52">
        <v>0.17500000000000002</v>
      </c>
      <c r="AE33" s="161">
        <v>157</v>
      </c>
      <c r="AF33" s="157">
        <v>161</v>
      </c>
      <c r="AG33" s="233">
        <v>2.6273148148148153E-2</v>
      </c>
      <c r="AH33" s="50">
        <f t="shared" si="4"/>
        <v>13.05</v>
      </c>
      <c r="AI33" s="87">
        <f t="shared" si="5"/>
        <v>13</v>
      </c>
      <c r="AJ33" s="27">
        <f t="shared" si="2"/>
        <v>5.0000000000000711E-2</v>
      </c>
      <c r="AK33" s="63">
        <f t="shared" si="6"/>
        <v>4.0208333333333339E-2</v>
      </c>
      <c r="AL33" s="59"/>
      <c r="AM33" s="51"/>
      <c r="AN33" s="3"/>
      <c r="AV33"/>
      <c r="AZ33"/>
      <c r="BB33"/>
      <c r="BD33"/>
      <c r="BG33" s="37"/>
    </row>
    <row r="34" spans="1:59" x14ac:dyDescent="0.25">
      <c r="A34" s="10">
        <v>11</v>
      </c>
      <c r="B34" s="1" t="s">
        <v>15</v>
      </c>
      <c r="C34" s="81">
        <v>42809</v>
      </c>
      <c r="D34" s="81"/>
      <c r="E34" s="3">
        <v>10</v>
      </c>
      <c r="F34" s="54">
        <v>10.08</v>
      </c>
      <c r="G34" s="51"/>
      <c r="H34" s="52">
        <v>0.21111111111111111</v>
      </c>
      <c r="I34" s="159">
        <v>126</v>
      </c>
      <c r="J34" s="157">
        <v>136</v>
      </c>
      <c r="K34" s="258">
        <v>3.5486111111111114E-2</v>
      </c>
      <c r="L34" s="11"/>
      <c r="M34" s="50"/>
      <c r="N34" s="2"/>
      <c r="O34" s="52"/>
      <c r="P34" s="161"/>
      <c r="Q34" s="157"/>
      <c r="R34" s="26"/>
      <c r="S34" s="223"/>
      <c r="T34" s="26"/>
      <c r="U34" s="53"/>
      <c r="V34" s="54"/>
      <c r="W34" s="51"/>
      <c r="X34" s="52"/>
      <c r="Y34" s="161"/>
      <c r="Z34" s="157"/>
      <c r="AA34" s="233"/>
      <c r="AB34" s="11"/>
      <c r="AC34" s="11"/>
      <c r="AD34" s="50"/>
      <c r="AE34" s="161"/>
      <c r="AF34" s="157"/>
      <c r="AG34" s="263"/>
      <c r="AH34" s="50">
        <f t="shared" si="4"/>
        <v>10.08</v>
      </c>
      <c r="AI34" s="87">
        <f t="shared" si="5"/>
        <v>10</v>
      </c>
      <c r="AJ34" s="27">
        <f t="shared" si="2"/>
        <v>8.0000000000000071E-2</v>
      </c>
      <c r="AK34" s="63">
        <f t="shared" si="6"/>
        <v>3.5486111111111114E-2</v>
      </c>
      <c r="AL34" s="59"/>
      <c r="AM34" s="51"/>
      <c r="AN34" s="3"/>
      <c r="AO34" s="55"/>
      <c r="AP34" s="11"/>
      <c r="AQ34" s="55"/>
      <c r="AR34" s="11"/>
      <c r="AS34" s="55"/>
      <c r="AT34" s="11"/>
      <c r="AU34" s="55"/>
      <c r="AV34" s="11"/>
      <c r="AW34" s="55"/>
      <c r="AX34" s="11"/>
      <c r="AY34" s="55"/>
      <c r="AZ34" s="11"/>
      <c r="BA34" s="55"/>
      <c r="BB34" s="11"/>
      <c r="BC34" s="55"/>
      <c r="BD34" s="11"/>
      <c r="BE34" s="55"/>
      <c r="BF34" s="11"/>
      <c r="BG34" s="37"/>
    </row>
    <row r="35" spans="1:59" x14ac:dyDescent="0.25">
      <c r="A35" s="10"/>
      <c r="B35" s="1" t="s">
        <v>26</v>
      </c>
      <c r="C35" s="81">
        <v>42810</v>
      </c>
      <c r="D35" s="81"/>
      <c r="E35" s="3">
        <v>10</v>
      </c>
      <c r="F35" s="54">
        <v>10.44</v>
      </c>
      <c r="G35" s="2">
        <v>0.20555555555555557</v>
      </c>
      <c r="H35" s="52">
        <v>0.19722222222222222</v>
      </c>
      <c r="I35" s="161">
        <v>140</v>
      </c>
      <c r="J35" s="157">
        <v>143</v>
      </c>
      <c r="K35" s="258">
        <v>3.4317129629629628E-2</v>
      </c>
      <c r="L35" s="11"/>
      <c r="M35" s="50"/>
      <c r="N35" s="2"/>
      <c r="O35" s="52"/>
      <c r="P35" s="161"/>
      <c r="Q35" s="157"/>
      <c r="R35" s="26"/>
      <c r="S35" s="223"/>
      <c r="T35" s="26"/>
      <c r="U35" s="53"/>
      <c r="V35" s="54"/>
      <c r="W35" s="51"/>
      <c r="X35" s="52"/>
      <c r="Y35" s="161"/>
      <c r="Z35" s="157"/>
      <c r="AA35" s="233"/>
      <c r="AB35" s="11"/>
      <c r="AC35" s="11"/>
      <c r="AD35" s="50"/>
      <c r="AE35" s="161"/>
      <c r="AF35" s="157"/>
      <c r="AG35" s="263"/>
      <c r="AH35" s="13">
        <f t="shared" si="4"/>
        <v>10.44</v>
      </c>
      <c r="AI35" s="87">
        <f t="shared" si="5"/>
        <v>10</v>
      </c>
      <c r="AJ35" s="27">
        <f t="shared" si="2"/>
        <v>0.4399999999999995</v>
      </c>
      <c r="AK35" s="63">
        <f t="shared" si="6"/>
        <v>3.4317129629629628E-2</v>
      </c>
      <c r="AL35" s="59"/>
      <c r="AM35" s="51"/>
      <c r="AN35" s="3"/>
      <c r="AO35" s="55"/>
      <c r="AP35" s="11"/>
      <c r="AQ35" s="55"/>
      <c r="AR35" s="11"/>
      <c r="AS35" s="55"/>
      <c r="AT35" s="11"/>
      <c r="AU35" s="55"/>
      <c r="AV35" s="11"/>
      <c r="AW35" s="55"/>
      <c r="AX35" s="11"/>
      <c r="AY35" s="55"/>
      <c r="AZ35" s="11"/>
      <c r="BA35" s="55"/>
      <c r="BB35" s="11"/>
      <c r="BC35" s="55"/>
      <c r="BD35" s="11"/>
      <c r="BE35" s="55"/>
      <c r="BF35" s="11"/>
      <c r="BG35" s="37"/>
    </row>
    <row r="36" spans="1:59" x14ac:dyDescent="0.25">
      <c r="A36" s="10"/>
      <c r="B36" s="1" t="s">
        <v>29</v>
      </c>
      <c r="C36" s="81">
        <v>42811</v>
      </c>
      <c r="D36" s="81"/>
      <c r="E36" s="3">
        <v>16</v>
      </c>
      <c r="F36" s="54">
        <v>18.649999999999999</v>
      </c>
      <c r="G36" s="2">
        <v>0.20555555555555557</v>
      </c>
      <c r="H36" s="52">
        <v>0.19305555555555554</v>
      </c>
      <c r="I36" s="161">
        <v>140</v>
      </c>
      <c r="J36" s="157">
        <v>148</v>
      </c>
      <c r="K36" s="258">
        <v>6.0023148148148152E-2</v>
      </c>
      <c r="L36" s="11"/>
      <c r="M36" s="50"/>
      <c r="N36" s="2"/>
      <c r="O36" s="52"/>
      <c r="P36" s="161"/>
      <c r="Q36" s="157"/>
      <c r="R36" s="26"/>
      <c r="S36" s="223"/>
      <c r="T36" s="26"/>
      <c r="U36" s="53"/>
      <c r="V36" s="54"/>
      <c r="W36" s="51"/>
      <c r="X36" s="52"/>
      <c r="Y36" s="161"/>
      <c r="Z36" s="157"/>
      <c r="AA36" s="233"/>
      <c r="AB36" s="11"/>
      <c r="AC36" s="51"/>
      <c r="AD36" s="52"/>
      <c r="AE36" s="161"/>
      <c r="AF36" s="157"/>
      <c r="AG36" s="233"/>
      <c r="AH36" s="50">
        <f t="shared" si="4"/>
        <v>18.649999999999999</v>
      </c>
      <c r="AI36" s="87">
        <f t="shared" si="5"/>
        <v>16</v>
      </c>
      <c r="AJ36" s="27">
        <f t="shared" si="2"/>
        <v>2.6499999999999986</v>
      </c>
      <c r="AK36" s="63">
        <f t="shared" si="6"/>
        <v>6.0023148148148152E-2</v>
      </c>
      <c r="AL36" s="59"/>
      <c r="AM36" s="51"/>
      <c r="AN36" s="3"/>
      <c r="AO36" s="55"/>
      <c r="AP36" s="11"/>
      <c r="AQ36" s="55"/>
      <c r="AR36" s="11"/>
      <c r="AS36" s="55"/>
      <c r="AT36" s="11"/>
      <c r="AU36" s="55"/>
      <c r="AV36" s="11"/>
      <c r="AW36" s="55"/>
      <c r="AX36" s="11"/>
      <c r="AY36" s="55"/>
      <c r="AZ36" s="11"/>
      <c r="BA36" s="55"/>
      <c r="BB36" s="11"/>
      <c r="BC36" s="55"/>
      <c r="BD36" s="11"/>
      <c r="BE36" s="55"/>
      <c r="BF36" s="11"/>
      <c r="BG36" s="37"/>
    </row>
    <row r="37" spans="1:59" x14ac:dyDescent="0.25">
      <c r="A37" s="56"/>
      <c r="B37" s="17" t="s">
        <v>27</v>
      </c>
      <c r="C37" s="85">
        <v>42813</v>
      </c>
      <c r="D37" s="85"/>
      <c r="E37" s="19">
        <v>24</v>
      </c>
      <c r="F37" s="42">
        <v>24.33</v>
      </c>
      <c r="G37" s="21">
        <v>0.20555555555555557</v>
      </c>
      <c r="H37" s="22">
        <v>0.19236111111111112</v>
      </c>
      <c r="I37" s="160">
        <v>140</v>
      </c>
      <c r="J37" s="156">
        <v>138</v>
      </c>
      <c r="K37" s="259">
        <v>7.8043981481481492E-2</v>
      </c>
      <c r="L37" s="18"/>
      <c r="M37" s="20"/>
      <c r="N37" s="18"/>
      <c r="O37" s="20"/>
      <c r="P37" s="160"/>
      <c r="Q37" s="156"/>
      <c r="R37" s="18"/>
      <c r="S37" s="224"/>
      <c r="T37" s="84"/>
      <c r="U37" s="31"/>
      <c r="V37" s="42"/>
      <c r="W37" s="18"/>
      <c r="X37" s="20"/>
      <c r="Y37" s="160"/>
      <c r="Z37" s="156"/>
      <c r="AA37" s="265"/>
      <c r="AB37" s="18"/>
      <c r="AC37" s="21"/>
      <c r="AD37" s="22"/>
      <c r="AE37" s="160"/>
      <c r="AF37" s="156"/>
      <c r="AG37" s="266"/>
      <c r="AH37" s="20">
        <f t="shared" si="4"/>
        <v>24.33</v>
      </c>
      <c r="AI37" s="88">
        <f t="shared" si="5"/>
        <v>24</v>
      </c>
      <c r="AJ37" s="34">
        <f t="shared" si="2"/>
        <v>0.32999999999999829</v>
      </c>
      <c r="AK37" s="58">
        <f t="shared" si="6"/>
        <v>7.8043981481481492E-2</v>
      </c>
      <c r="AL37" s="57">
        <f>SUM(AH32:AH37)</f>
        <v>87.179999999999993</v>
      </c>
      <c r="AM37" s="21">
        <f>SUM(AK32:AK37)</f>
        <v>0.28586805555555556</v>
      </c>
      <c r="AN37" s="19"/>
      <c r="AO37" s="36"/>
      <c r="AP37" s="18"/>
      <c r="AQ37" s="36"/>
      <c r="AR37" s="18"/>
      <c r="AS37" s="36"/>
      <c r="AT37" s="18"/>
      <c r="AU37" s="36"/>
      <c r="AV37" s="18"/>
      <c r="AW37" s="36"/>
      <c r="AX37" s="18"/>
      <c r="AY37" s="36"/>
      <c r="AZ37" s="18"/>
      <c r="BA37" s="36"/>
      <c r="BB37" s="18"/>
      <c r="BC37" s="36"/>
      <c r="BD37" s="18"/>
      <c r="BE37" s="36"/>
      <c r="BF37" s="18"/>
      <c r="BG37" s="38"/>
    </row>
    <row r="38" spans="1:59" x14ac:dyDescent="0.25">
      <c r="A38" s="10"/>
      <c r="B38" s="1" t="s">
        <v>0</v>
      </c>
      <c r="C38" s="81">
        <v>42814</v>
      </c>
      <c r="D38" s="81"/>
      <c r="E38" s="3">
        <v>10</v>
      </c>
      <c r="F38" s="54">
        <v>10.039999999999999</v>
      </c>
      <c r="G38" s="51"/>
      <c r="H38" s="52">
        <v>0.21249999999999999</v>
      </c>
      <c r="I38" s="159">
        <v>126</v>
      </c>
      <c r="J38" s="157">
        <v>144</v>
      </c>
      <c r="K38" s="258">
        <v>3.5578703703703703E-2</v>
      </c>
      <c r="L38" s="11"/>
      <c r="M38" s="50"/>
      <c r="N38" s="11"/>
      <c r="O38" s="50"/>
      <c r="P38" s="161"/>
      <c r="Q38" s="157"/>
      <c r="R38" s="11"/>
      <c r="S38" s="223"/>
      <c r="T38" s="26"/>
      <c r="U38" s="53"/>
      <c r="V38" s="54"/>
      <c r="W38" s="11"/>
      <c r="X38" s="50"/>
      <c r="Y38" s="161"/>
      <c r="Z38" s="157"/>
      <c r="AA38" s="263"/>
      <c r="AB38" s="11"/>
      <c r="AC38" s="11"/>
      <c r="AD38" s="50"/>
      <c r="AE38" s="161"/>
      <c r="AF38" s="157"/>
      <c r="AG38" s="263"/>
      <c r="AH38" s="188">
        <f t="shared" si="4"/>
        <v>10.039999999999999</v>
      </c>
      <c r="AI38" s="87">
        <f t="shared" si="5"/>
        <v>10</v>
      </c>
      <c r="AJ38" s="27">
        <f t="shared" si="2"/>
        <v>3.9999999999999147E-2</v>
      </c>
      <c r="AK38" s="63">
        <f t="shared" si="6"/>
        <v>3.5578703703703703E-2</v>
      </c>
      <c r="AL38" s="59"/>
      <c r="AM38" s="51"/>
      <c r="AN38" s="3"/>
      <c r="AO38" s="9" t="e">
        <f>#REF!-AN38</f>
        <v>#REF!</v>
      </c>
      <c r="AQ38" s="9" t="e">
        <f>#REF!-AP38</f>
        <v>#REF!</v>
      </c>
      <c r="AS38" s="9" t="e">
        <f>#REF!-AR38</f>
        <v>#REF!</v>
      </c>
      <c r="AU38" s="9" t="e">
        <f>#REF!-AT38</f>
        <v>#REF!</v>
      </c>
      <c r="AV38"/>
      <c r="AW38" s="9" t="e">
        <f>#REF!-AV38</f>
        <v>#REF!</v>
      </c>
      <c r="AY38" s="9" t="e">
        <f>#REF!-AX38</f>
        <v>#REF!</v>
      </c>
      <c r="AZ38"/>
      <c r="BA38" s="9" t="e">
        <f>#REF!-AZ38</f>
        <v>#REF!</v>
      </c>
      <c r="BB38"/>
      <c r="BC38" s="9" t="e">
        <f>#REF!-BB38</f>
        <v>#REF!</v>
      </c>
      <c r="BD38"/>
      <c r="BE38" s="9" t="e">
        <f>#REF!-BD38</f>
        <v>#REF!</v>
      </c>
      <c r="BG38" s="37" t="e">
        <f>#REF!-BF38</f>
        <v>#REF!</v>
      </c>
    </row>
    <row r="39" spans="1:59" x14ac:dyDescent="0.25">
      <c r="A39" s="10"/>
      <c r="B39" s="1" t="s">
        <v>24</v>
      </c>
      <c r="C39" s="81">
        <v>42815</v>
      </c>
      <c r="D39" s="81"/>
      <c r="E39" s="3"/>
      <c r="F39" s="54"/>
      <c r="G39" s="51"/>
      <c r="H39" s="52"/>
      <c r="I39" s="161"/>
      <c r="J39" s="157"/>
      <c r="K39" s="258"/>
      <c r="L39" s="11">
        <v>4</v>
      </c>
      <c r="M39" s="50">
        <v>4.08</v>
      </c>
      <c r="N39" s="11"/>
      <c r="O39" s="52">
        <v>0.2076388888888889</v>
      </c>
      <c r="P39" s="161">
        <v>140</v>
      </c>
      <c r="Q39" s="157">
        <v>149</v>
      </c>
      <c r="R39" s="26">
        <v>1.4120370370370368E-2</v>
      </c>
      <c r="S39" s="223"/>
      <c r="T39" s="26"/>
      <c r="U39" s="53"/>
      <c r="V39" s="54"/>
      <c r="W39" s="51"/>
      <c r="X39" s="52"/>
      <c r="Y39" s="161"/>
      <c r="Z39" s="157"/>
      <c r="AA39" s="233"/>
      <c r="AB39" s="11">
        <v>7</v>
      </c>
      <c r="AC39" s="51">
        <v>0.17430555555555557</v>
      </c>
      <c r="AD39" s="52">
        <v>0.17430555555555557</v>
      </c>
      <c r="AE39" s="161">
        <v>157</v>
      </c>
      <c r="AF39" s="157">
        <v>169</v>
      </c>
      <c r="AG39" s="233">
        <v>2.0358796296296295E-2</v>
      </c>
      <c r="AH39" s="50">
        <f t="shared" si="4"/>
        <v>11.08</v>
      </c>
      <c r="AI39" s="87">
        <f t="shared" si="5"/>
        <v>11</v>
      </c>
      <c r="AJ39" s="27">
        <f t="shared" si="2"/>
        <v>8.0000000000000071E-2</v>
      </c>
      <c r="AK39" s="63">
        <f t="shared" si="6"/>
        <v>3.4479166666666665E-2</v>
      </c>
      <c r="AL39" s="59"/>
      <c r="AM39" s="51"/>
      <c r="AN39" s="3"/>
      <c r="AO39" s="55"/>
      <c r="AP39" s="11"/>
      <c r="AQ39" s="55"/>
      <c r="AR39" s="11"/>
      <c r="AS39" s="55"/>
      <c r="AT39" s="11"/>
      <c r="AU39" s="55"/>
      <c r="AV39" s="11"/>
      <c r="AW39" s="55"/>
      <c r="AX39" s="11"/>
      <c r="AY39" s="55"/>
      <c r="AZ39" s="11"/>
      <c r="BA39" s="55"/>
      <c r="BB39" s="11"/>
      <c r="BC39" s="55"/>
      <c r="BD39" s="11"/>
      <c r="BE39" s="55"/>
      <c r="BF39" s="11"/>
      <c r="BG39" s="37"/>
    </row>
    <row r="40" spans="1:59" x14ac:dyDescent="0.25">
      <c r="A40" s="10">
        <v>12</v>
      </c>
      <c r="B40" s="1" t="s">
        <v>15</v>
      </c>
      <c r="C40" s="81">
        <v>42816</v>
      </c>
      <c r="D40" s="81"/>
      <c r="E40" s="3">
        <v>10</v>
      </c>
      <c r="F40" s="54">
        <v>10.23</v>
      </c>
      <c r="G40" s="51"/>
      <c r="H40" s="52">
        <v>0.20069444444444443</v>
      </c>
      <c r="I40" s="159">
        <v>126</v>
      </c>
      <c r="J40" s="157">
        <v>137</v>
      </c>
      <c r="K40" s="258">
        <v>3.4189814814814819E-2</v>
      </c>
      <c r="L40" s="11"/>
      <c r="M40" s="50"/>
      <c r="N40" s="11"/>
      <c r="O40" s="50"/>
      <c r="P40" s="161"/>
      <c r="Q40" s="157"/>
      <c r="R40" s="11"/>
      <c r="S40" s="223"/>
      <c r="T40" s="26"/>
      <c r="U40" s="53"/>
      <c r="V40" s="54"/>
      <c r="W40" s="11"/>
      <c r="X40" s="50"/>
      <c r="Y40" s="161"/>
      <c r="Z40" s="157"/>
      <c r="AA40" s="263"/>
      <c r="AB40" s="27"/>
      <c r="AC40" s="51"/>
      <c r="AD40" s="52"/>
      <c r="AE40" s="161"/>
      <c r="AF40" s="157"/>
      <c r="AG40" s="233"/>
      <c r="AH40" s="50">
        <f t="shared" si="4"/>
        <v>10.23</v>
      </c>
      <c r="AI40" s="87">
        <f t="shared" si="5"/>
        <v>10</v>
      </c>
      <c r="AJ40" s="27">
        <f t="shared" si="2"/>
        <v>0.23000000000000043</v>
      </c>
      <c r="AK40" s="63">
        <f t="shared" si="6"/>
        <v>3.4189814814814819E-2</v>
      </c>
      <c r="AL40" s="59"/>
      <c r="AM40" s="51"/>
      <c r="AN40" s="3"/>
      <c r="AO40" s="55"/>
      <c r="AP40" s="11"/>
      <c r="AQ40" s="55"/>
      <c r="AR40" s="11"/>
      <c r="AS40" s="55"/>
      <c r="AT40" s="11"/>
      <c r="AU40" s="55"/>
      <c r="AV40" s="11"/>
      <c r="AW40" s="55"/>
      <c r="AX40" s="11"/>
      <c r="AY40" s="55"/>
      <c r="AZ40" s="11"/>
      <c r="BA40" s="55"/>
      <c r="BB40" s="11"/>
      <c r="BC40" s="55"/>
      <c r="BD40" s="11"/>
      <c r="BE40" s="55"/>
      <c r="BF40" s="11"/>
      <c r="BG40" s="37"/>
    </row>
    <row r="41" spans="1:59" x14ac:dyDescent="0.25">
      <c r="A41" s="10"/>
      <c r="B41" s="1" t="s">
        <v>26</v>
      </c>
      <c r="C41" s="81">
        <v>42817</v>
      </c>
      <c r="D41" s="81"/>
      <c r="E41" s="3">
        <v>10</v>
      </c>
      <c r="F41" s="54">
        <v>10.01</v>
      </c>
      <c r="G41" s="2">
        <v>0.20555555555555557</v>
      </c>
      <c r="H41" s="52">
        <v>0.18958333333333333</v>
      </c>
      <c r="I41" s="161">
        <v>140</v>
      </c>
      <c r="J41" s="157">
        <v>136</v>
      </c>
      <c r="K41" s="258">
        <v>3.1574074074074074E-2</v>
      </c>
      <c r="L41" s="11"/>
      <c r="M41" s="50"/>
      <c r="N41" s="11"/>
      <c r="O41" s="50"/>
      <c r="P41" s="161"/>
      <c r="Q41" s="157"/>
      <c r="R41" s="11"/>
      <c r="S41" s="223"/>
      <c r="T41" s="26"/>
      <c r="U41" s="53"/>
      <c r="V41" s="54"/>
      <c r="W41" s="11"/>
      <c r="X41" s="50"/>
      <c r="Y41" s="161"/>
      <c r="Z41" s="157"/>
      <c r="AA41" s="263"/>
      <c r="AB41" s="27"/>
      <c r="AC41" s="51"/>
      <c r="AD41" s="52"/>
      <c r="AE41" s="161"/>
      <c r="AF41" s="157"/>
      <c r="AG41" s="233"/>
      <c r="AH41" s="13">
        <f t="shared" si="4"/>
        <v>10.01</v>
      </c>
      <c r="AI41" s="87">
        <f t="shared" si="5"/>
        <v>10</v>
      </c>
      <c r="AJ41" s="27">
        <f t="shared" si="2"/>
        <v>9.9999999999997868E-3</v>
      </c>
      <c r="AK41" s="63">
        <f t="shared" si="6"/>
        <v>3.1574074074074074E-2</v>
      </c>
      <c r="AL41" s="59"/>
      <c r="AM41" s="51"/>
      <c r="AN41" s="3"/>
      <c r="AO41" s="55"/>
      <c r="AP41" s="11"/>
      <c r="AQ41" s="55"/>
      <c r="AR41" s="11"/>
      <c r="AS41" s="55"/>
      <c r="AT41" s="11"/>
      <c r="AU41" s="55"/>
      <c r="AV41" s="11"/>
      <c r="AW41" s="55"/>
      <c r="AX41" s="11"/>
      <c r="AY41" s="55"/>
      <c r="AZ41" s="11"/>
      <c r="BA41" s="55"/>
      <c r="BB41" s="11"/>
      <c r="BC41" s="55"/>
      <c r="BD41" s="11"/>
      <c r="BE41" s="55"/>
      <c r="BF41" s="11"/>
      <c r="BG41" s="37"/>
    </row>
    <row r="42" spans="1:59" x14ac:dyDescent="0.25">
      <c r="A42" s="10"/>
      <c r="B42" s="1" t="s">
        <v>29</v>
      </c>
      <c r="C42" s="81">
        <v>42818</v>
      </c>
      <c r="D42" s="81"/>
      <c r="E42" s="3"/>
      <c r="F42" s="54"/>
      <c r="G42" s="51"/>
      <c r="H42" s="52"/>
      <c r="I42" s="161"/>
      <c r="J42" s="157"/>
      <c r="K42" s="258"/>
      <c r="L42" s="11">
        <v>4</v>
      </c>
      <c r="M42" s="50">
        <v>4</v>
      </c>
      <c r="N42" s="11"/>
      <c r="O42" s="52">
        <v>0.20138888888888887</v>
      </c>
      <c r="P42" s="161">
        <v>140</v>
      </c>
      <c r="Q42" s="157">
        <v>145</v>
      </c>
      <c r="R42" s="26">
        <v>1.3379629629629628E-2</v>
      </c>
      <c r="S42" s="223">
        <v>1.78</v>
      </c>
      <c r="T42" s="26">
        <v>7.8703703703703713E-3</v>
      </c>
      <c r="U42" s="53" t="s">
        <v>166</v>
      </c>
      <c r="V42" s="54">
        <v>4</v>
      </c>
      <c r="W42" s="2">
        <v>0.15069444444444444</v>
      </c>
      <c r="X42" s="52">
        <v>0.14861111111111111</v>
      </c>
      <c r="Y42" s="161">
        <v>181</v>
      </c>
      <c r="Z42" s="157">
        <v>163</v>
      </c>
      <c r="AA42" s="233">
        <v>9.9189814814814817E-3</v>
      </c>
      <c r="AB42" s="11"/>
      <c r="AC42" s="11"/>
      <c r="AD42" s="50"/>
      <c r="AE42" s="161"/>
      <c r="AF42" s="157"/>
      <c r="AG42" s="263"/>
      <c r="AH42" s="50">
        <f t="shared" si="4"/>
        <v>9.7799999999999994</v>
      </c>
      <c r="AI42" s="87">
        <f t="shared" si="5"/>
        <v>9.7799999999999994</v>
      </c>
      <c r="AJ42" s="27">
        <f t="shared" si="2"/>
        <v>0</v>
      </c>
      <c r="AK42" s="63">
        <f t="shared" si="6"/>
        <v>3.1168981481481482E-2</v>
      </c>
      <c r="AL42" s="59"/>
      <c r="AM42" s="51"/>
      <c r="AN42" s="3"/>
      <c r="AO42" s="55"/>
      <c r="AP42" s="11"/>
      <c r="AQ42" s="55"/>
      <c r="AR42" s="11"/>
      <c r="AS42" s="55"/>
      <c r="AT42" s="11"/>
      <c r="AU42" s="55"/>
      <c r="AV42" s="11"/>
      <c r="AW42" s="55"/>
      <c r="AX42" s="11"/>
      <c r="AY42" s="55"/>
      <c r="AZ42" s="11"/>
      <c r="BA42" s="55"/>
      <c r="BB42" s="11"/>
      <c r="BC42" s="55"/>
      <c r="BD42" s="11"/>
      <c r="BE42" s="55"/>
      <c r="BF42" s="11"/>
      <c r="BG42" s="37"/>
    </row>
    <row r="43" spans="1:59" x14ac:dyDescent="0.25">
      <c r="A43" s="56"/>
      <c r="B43" s="17" t="s">
        <v>27</v>
      </c>
      <c r="C43" s="85">
        <v>42820</v>
      </c>
      <c r="D43" s="85"/>
      <c r="E43" s="19">
        <v>18</v>
      </c>
      <c r="F43" s="42">
        <v>18.649999999999999</v>
      </c>
      <c r="G43" s="21">
        <v>0.20555555555555557</v>
      </c>
      <c r="H43" s="22">
        <v>0.19236111111111112</v>
      </c>
      <c r="I43" s="160">
        <v>140</v>
      </c>
      <c r="J43" s="156">
        <v>129</v>
      </c>
      <c r="K43" s="259">
        <v>5.9872685185185182E-2</v>
      </c>
      <c r="L43" s="18"/>
      <c r="M43" s="20"/>
      <c r="N43" s="18"/>
      <c r="O43" s="20"/>
      <c r="P43" s="160"/>
      <c r="Q43" s="156"/>
      <c r="R43" s="18"/>
      <c r="S43" s="224"/>
      <c r="T43" s="84"/>
      <c r="U43" s="31"/>
      <c r="V43" s="42"/>
      <c r="W43" s="18"/>
      <c r="X43" s="20"/>
      <c r="Y43" s="160"/>
      <c r="Z43" s="156"/>
      <c r="AA43" s="265"/>
      <c r="AB43" s="18"/>
      <c r="AC43" s="21"/>
      <c r="AD43" s="20"/>
      <c r="AE43" s="160"/>
      <c r="AF43" s="156"/>
      <c r="AG43" s="265"/>
      <c r="AH43" s="20">
        <f t="shared" si="4"/>
        <v>18.649999999999999</v>
      </c>
      <c r="AI43" s="88">
        <f t="shared" si="5"/>
        <v>18</v>
      </c>
      <c r="AJ43" s="34">
        <f t="shared" si="2"/>
        <v>0.64999999999999858</v>
      </c>
      <c r="AK43" s="58">
        <f t="shared" si="6"/>
        <v>5.9872685185185182E-2</v>
      </c>
      <c r="AL43" s="57">
        <f>SUM(AH38:AH43)</f>
        <v>69.789999999999992</v>
      </c>
      <c r="AM43" s="21">
        <f>SUM(AK38:AK43)</f>
        <v>0.22686342592592593</v>
      </c>
      <c r="AN43" s="19"/>
      <c r="AO43" s="36"/>
      <c r="AP43" s="18"/>
      <c r="AQ43" s="36"/>
      <c r="AR43" s="18"/>
      <c r="AS43" s="36"/>
      <c r="AT43" s="18"/>
      <c r="AU43" s="36"/>
      <c r="AV43" s="18"/>
      <c r="AW43" s="36"/>
      <c r="AX43" s="18"/>
      <c r="AY43" s="36"/>
      <c r="AZ43" s="18"/>
      <c r="BA43" s="36"/>
      <c r="BB43" s="18"/>
      <c r="BC43" s="36"/>
      <c r="BD43" s="18"/>
      <c r="BE43" s="36"/>
      <c r="BF43" s="18"/>
      <c r="BG43" s="38"/>
    </row>
    <row r="44" spans="1:59" x14ac:dyDescent="0.25">
      <c r="A44" s="10"/>
      <c r="B44" s="1" t="s">
        <v>0</v>
      </c>
      <c r="C44" s="81">
        <v>42821</v>
      </c>
      <c r="D44" s="81"/>
      <c r="E44" s="3">
        <v>8</v>
      </c>
      <c r="F44" s="54">
        <v>7.59</v>
      </c>
      <c r="G44" s="51"/>
      <c r="H44" s="52">
        <v>0.20277777777777781</v>
      </c>
      <c r="I44" s="159">
        <v>126</v>
      </c>
      <c r="J44" s="157">
        <v>140</v>
      </c>
      <c r="K44" s="258">
        <v>2.5694444444444447E-2</v>
      </c>
      <c r="L44" s="11"/>
      <c r="M44" s="50"/>
      <c r="N44" s="11"/>
      <c r="O44" s="50"/>
      <c r="P44" s="161"/>
      <c r="Q44" s="157"/>
      <c r="R44" s="11"/>
      <c r="S44" s="223"/>
      <c r="T44" s="26"/>
      <c r="U44" s="53"/>
      <c r="V44" s="54"/>
      <c r="W44" s="11"/>
      <c r="X44" s="50"/>
      <c r="Y44" s="161"/>
      <c r="Z44" s="157"/>
      <c r="AA44" s="263"/>
      <c r="AB44" s="11"/>
      <c r="AC44" s="11"/>
      <c r="AD44" s="50"/>
      <c r="AE44" s="161"/>
      <c r="AF44" s="157"/>
      <c r="AG44" s="263"/>
      <c r="AH44" s="188">
        <f t="shared" si="4"/>
        <v>7.59</v>
      </c>
      <c r="AI44" s="87">
        <f t="shared" si="5"/>
        <v>8</v>
      </c>
      <c r="AJ44" s="27">
        <f t="shared" si="2"/>
        <v>-0.41000000000000014</v>
      </c>
      <c r="AK44" s="63">
        <f t="shared" si="6"/>
        <v>2.5694444444444447E-2</v>
      </c>
      <c r="AL44" s="59"/>
      <c r="AM44" s="51"/>
      <c r="AN44" s="3"/>
      <c r="AO44" s="9" t="e">
        <f>#REF!-AN45</f>
        <v>#REF!</v>
      </c>
      <c r="AQ44" s="9" t="e">
        <f>#REF!-AP44</f>
        <v>#REF!</v>
      </c>
      <c r="AS44" s="9" t="e">
        <f>#REF!-AR44</f>
        <v>#REF!</v>
      </c>
      <c r="AU44" s="9" t="e">
        <f>#REF!-AT44</f>
        <v>#REF!</v>
      </c>
      <c r="AV44"/>
      <c r="AW44" s="9" t="e">
        <f>#REF!-AV44</f>
        <v>#REF!</v>
      </c>
      <c r="AY44" s="9" t="e">
        <f>#REF!-AX44</f>
        <v>#REF!</v>
      </c>
      <c r="AZ44"/>
      <c r="BA44" s="9" t="e">
        <f>#REF!-AZ44</f>
        <v>#REF!</v>
      </c>
      <c r="BB44"/>
      <c r="BC44" s="9" t="e">
        <f>#REF!-BB44</f>
        <v>#REF!</v>
      </c>
      <c r="BD44"/>
      <c r="BE44" s="9" t="e">
        <f>#REF!-BD44</f>
        <v>#REF!</v>
      </c>
      <c r="BG44" s="37" t="e">
        <f>#REF!-BF44</f>
        <v>#REF!</v>
      </c>
    </row>
    <row r="45" spans="1:59" x14ac:dyDescent="0.25">
      <c r="A45" s="10"/>
      <c r="B45" s="1" t="s">
        <v>24</v>
      </c>
      <c r="C45" s="81">
        <v>42822</v>
      </c>
      <c r="D45" s="81"/>
      <c r="E45" s="3">
        <v>10</v>
      </c>
      <c r="F45" s="54">
        <v>10.01</v>
      </c>
      <c r="G45" s="2">
        <v>0.20555555555555557</v>
      </c>
      <c r="H45" s="52">
        <v>0.18958333333333333</v>
      </c>
      <c r="I45" s="161">
        <v>140</v>
      </c>
      <c r="J45" s="157">
        <v>145</v>
      </c>
      <c r="K45" s="258">
        <v>3.1608796296296295E-2</v>
      </c>
      <c r="L45" s="11"/>
      <c r="M45" s="50"/>
      <c r="N45" s="11"/>
      <c r="O45" s="50"/>
      <c r="P45" s="161"/>
      <c r="Q45" s="157"/>
      <c r="R45" s="11"/>
      <c r="S45" s="223"/>
      <c r="T45" s="26"/>
      <c r="U45" s="53"/>
      <c r="V45" s="54"/>
      <c r="W45" s="11"/>
      <c r="X45" s="50"/>
      <c r="Y45" s="161"/>
      <c r="Z45" s="157"/>
      <c r="AA45" s="263"/>
      <c r="AB45" s="11"/>
      <c r="AC45" s="11"/>
      <c r="AD45" s="50"/>
      <c r="AE45" s="161">
        <v>157</v>
      </c>
      <c r="AF45" s="157"/>
      <c r="AG45" s="263"/>
      <c r="AH45" s="50">
        <f t="shared" si="4"/>
        <v>10.01</v>
      </c>
      <c r="AI45" s="87">
        <f t="shared" si="5"/>
        <v>10</v>
      </c>
      <c r="AJ45" s="27">
        <f t="shared" si="2"/>
        <v>9.9999999999997868E-3</v>
      </c>
      <c r="AK45" s="63">
        <f t="shared" si="6"/>
        <v>3.1608796296296295E-2</v>
      </c>
      <c r="AL45" s="59"/>
      <c r="AM45" s="51"/>
      <c r="AN45" s="3"/>
      <c r="AZ45"/>
      <c r="BB45"/>
      <c r="BD45"/>
      <c r="BG45" s="37"/>
    </row>
    <row r="46" spans="1:59" x14ac:dyDescent="0.25">
      <c r="A46" s="10">
        <v>13</v>
      </c>
      <c r="B46" s="1" t="s">
        <v>26</v>
      </c>
      <c r="C46" s="81">
        <v>42823</v>
      </c>
      <c r="D46" s="81"/>
      <c r="E46" s="3">
        <v>10</v>
      </c>
      <c r="F46" s="54">
        <v>10.029999999999999</v>
      </c>
      <c r="G46" s="2">
        <v>0.20555555555555557</v>
      </c>
      <c r="H46" s="52">
        <v>0.19999999999999998</v>
      </c>
      <c r="I46" s="161">
        <v>140</v>
      </c>
      <c r="J46" s="157">
        <v>143</v>
      </c>
      <c r="K46" s="258">
        <v>3.3379629629629634E-2</v>
      </c>
      <c r="L46" s="11"/>
      <c r="M46" s="50"/>
      <c r="N46" s="11"/>
      <c r="O46" s="50"/>
      <c r="P46" s="161"/>
      <c r="Q46" s="157"/>
      <c r="R46" s="11"/>
      <c r="S46" s="223"/>
      <c r="T46" s="26"/>
      <c r="U46" s="53"/>
      <c r="V46" s="54"/>
      <c r="W46" s="11"/>
      <c r="X46" s="50"/>
      <c r="Y46" s="161"/>
      <c r="Z46" s="157"/>
      <c r="AA46" s="263"/>
      <c r="AB46" s="11"/>
      <c r="AC46" s="11"/>
      <c r="AD46" s="50"/>
      <c r="AE46" s="161"/>
      <c r="AF46" s="157"/>
      <c r="AG46" s="263"/>
      <c r="AH46" s="50">
        <f t="shared" si="4"/>
        <v>10.029999999999999</v>
      </c>
      <c r="AI46" s="87">
        <f t="shared" si="5"/>
        <v>10</v>
      </c>
      <c r="AJ46" s="27">
        <f t="shared" si="2"/>
        <v>2.9999999999999361E-2</v>
      </c>
      <c r="AK46" s="63">
        <f t="shared" si="6"/>
        <v>3.3379629629629634E-2</v>
      </c>
      <c r="AL46" s="59"/>
      <c r="AM46" s="51"/>
      <c r="AN46" s="3"/>
      <c r="AZ46"/>
      <c r="BB46"/>
      <c r="BD46"/>
      <c r="BG46" s="37"/>
    </row>
    <row r="47" spans="1:59" x14ac:dyDescent="0.25">
      <c r="B47" s="17" t="s">
        <v>29</v>
      </c>
      <c r="C47" s="81">
        <v>42824</v>
      </c>
      <c r="D47" s="81"/>
      <c r="E47" s="3">
        <v>10</v>
      </c>
      <c r="F47" s="54">
        <v>10.029999999999999</v>
      </c>
      <c r="G47" s="21">
        <v>0.20555555555555557</v>
      </c>
      <c r="H47" s="52">
        <v>0.19999999999999998</v>
      </c>
      <c r="I47" s="161">
        <v>140</v>
      </c>
      <c r="J47" s="157">
        <v>143</v>
      </c>
      <c r="K47" s="258">
        <v>3.3379629629629634E-2</v>
      </c>
      <c r="L47" s="11"/>
      <c r="M47" s="50"/>
      <c r="N47" s="2"/>
      <c r="O47" s="52"/>
      <c r="P47" s="161"/>
      <c r="Q47" s="157"/>
      <c r="R47" s="26"/>
      <c r="S47" s="223"/>
      <c r="T47" s="26"/>
      <c r="U47" s="53"/>
      <c r="V47" s="54"/>
      <c r="W47" s="11"/>
      <c r="X47" s="64"/>
      <c r="Y47" s="161"/>
      <c r="Z47" s="157"/>
      <c r="AA47" s="233"/>
      <c r="AB47" s="11"/>
      <c r="AC47" s="11"/>
      <c r="AD47" s="50"/>
      <c r="AE47" s="161"/>
      <c r="AF47" s="157"/>
      <c r="AG47" s="50"/>
      <c r="AH47" s="61">
        <f t="shared" si="4"/>
        <v>10.029999999999999</v>
      </c>
      <c r="AI47" s="88">
        <f t="shared" si="5"/>
        <v>10</v>
      </c>
      <c r="AJ47" s="27">
        <f t="shared" si="2"/>
        <v>2.9999999999999361E-2</v>
      </c>
      <c r="AK47" s="58">
        <f t="shared" si="6"/>
        <v>3.3379629629629634E-2</v>
      </c>
      <c r="AL47" s="33"/>
      <c r="AM47" s="299"/>
      <c r="AN47" s="3"/>
      <c r="AO47" s="55"/>
      <c r="AP47" s="11"/>
      <c r="AQ47" s="55"/>
      <c r="AR47" s="11"/>
      <c r="AS47" s="55"/>
      <c r="AT47" s="11"/>
      <c r="AU47" s="55"/>
      <c r="AV47" s="11"/>
      <c r="AW47" s="55"/>
      <c r="AX47" s="11"/>
      <c r="AY47" s="55"/>
      <c r="AZ47" s="11"/>
      <c r="BA47" s="55"/>
      <c r="BB47" s="11"/>
      <c r="BC47" s="55"/>
      <c r="BD47" s="11"/>
      <c r="BE47" s="55"/>
      <c r="BF47" s="11"/>
      <c r="BG47" s="37"/>
    </row>
    <row r="48" spans="1:59" x14ac:dyDescent="0.25">
      <c r="A48" s="65"/>
      <c r="B48" s="17" t="s">
        <v>27</v>
      </c>
      <c r="C48" s="86">
        <v>42827</v>
      </c>
      <c r="D48" s="86" t="s">
        <v>355</v>
      </c>
      <c r="E48" s="68"/>
      <c r="F48" s="72"/>
      <c r="G48" s="70"/>
      <c r="H48" s="69"/>
      <c r="I48" s="162"/>
      <c r="J48" s="158"/>
      <c r="K48" s="260"/>
      <c r="L48" s="70"/>
      <c r="M48" s="69"/>
      <c r="N48" s="70"/>
      <c r="O48" s="69"/>
      <c r="P48" s="162"/>
      <c r="Q48" s="158"/>
      <c r="R48" s="70"/>
      <c r="S48" s="268"/>
      <c r="T48" s="83"/>
      <c r="U48" s="71"/>
      <c r="V48" s="72"/>
      <c r="W48" s="70"/>
      <c r="X48" s="69"/>
      <c r="Y48" s="162"/>
      <c r="Z48" s="158"/>
      <c r="AA48" s="267"/>
      <c r="AB48" s="70">
        <v>42.195</v>
      </c>
      <c r="AC48" s="177">
        <v>0.17430555555555557</v>
      </c>
      <c r="AD48" s="79">
        <v>42.4</v>
      </c>
      <c r="AE48" s="162"/>
      <c r="AF48" s="158">
        <v>166</v>
      </c>
      <c r="AG48" s="270">
        <v>0.12468749999999999</v>
      </c>
      <c r="AH48" s="75">
        <f>AB48</f>
        <v>42.195</v>
      </c>
      <c r="AI48" s="154">
        <f t="shared" si="5"/>
        <v>42.195</v>
      </c>
      <c r="AJ48" s="67">
        <f>AH48-AI48</f>
        <v>0</v>
      </c>
      <c r="AK48" s="153">
        <f t="shared" si="6"/>
        <v>0.12468749999999999</v>
      </c>
      <c r="AL48" s="57">
        <f>SUM(AH44:AH48)</f>
        <v>79.855000000000004</v>
      </c>
      <c r="AM48" s="21">
        <f>SUM(AK44:AK48)</f>
        <v>0.24875</v>
      </c>
      <c r="AN48" s="70"/>
      <c r="AO48" s="73" t="e">
        <f>#REF!-AN48</f>
        <v>#REF!</v>
      </c>
      <c r="AP48" s="70"/>
      <c r="AQ48" s="73"/>
      <c r="AR48" s="70"/>
      <c r="AS48" s="73"/>
      <c r="AT48" s="70"/>
      <c r="AU48" s="73"/>
      <c r="AV48" s="70"/>
      <c r="AW48" s="73"/>
      <c r="AX48" s="70"/>
      <c r="AY48" s="73"/>
      <c r="AZ48" s="70"/>
      <c r="BA48" s="73"/>
      <c r="BB48" s="70"/>
      <c r="BC48" s="73"/>
      <c r="BD48" s="70"/>
      <c r="BE48" s="73"/>
      <c r="BF48" s="70"/>
      <c r="BG48" s="74"/>
    </row>
    <row r="49" spans="1:58" s="9" customFormat="1" x14ac:dyDescent="0.25">
      <c r="A49" s="6"/>
      <c r="B49"/>
      <c r="C49"/>
      <c r="D49"/>
      <c r="E49"/>
      <c r="F49" s="41"/>
      <c r="G49"/>
      <c r="H49" s="13"/>
      <c r="I49" s="159"/>
      <c r="J49" s="147"/>
      <c r="K49" s="261"/>
      <c r="L49"/>
      <c r="M49" s="13"/>
      <c r="N49"/>
      <c r="O49" s="13"/>
      <c r="P49" s="159"/>
      <c r="Q49" s="147"/>
      <c r="R49"/>
      <c r="S49" s="41"/>
      <c r="T49" s="46"/>
      <c r="U49" s="30"/>
      <c r="V49" s="41"/>
      <c r="W49"/>
      <c r="X49" s="13"/>
      <c r="Y49" s="159"/>
      <c r="Z49" s="147"/>
      <c r="AA49" s="13"/>
      <c r="AB49"/>
      <c r="AC49"/>
      <c r="AD49" s="13"/>
      <c r="AE49" s="159"/>
      <c r="AF49" s="147"/>
      <c r="AG49" s="13"/>
      <c r="AH49" s="13"/>
      <c r="AI49"/>
      <c r="AJ49"/>
      <c r="AK49" s="13"/>
      <c r="AL49" s="13"/>
      <c r="AM49" s="13"/>
      <c r="AN49"/>
      <c r="AP49"/>
      <c r="AR49"/>
      <c r="AT49"/>
      <c r="AX49"/>
      <c r="AZ49"/>
      <c r="BB49"/>
      <c r="BD49"/>
      <c r="BF49"/>
    </row>
    <row r="50" spans="1:58" s="9" customFormat="1" x14ac:dyDescent="0.25">
      <c r="A50" s="6"/>
      <c r="B50"/>
      <c r="C50"/>
      <c r="D50"/>
      <c r="E50"/>
      <c r="F50" s="41"/>
      <c r="G50"/>
      <c r="H50" s="13"/>
      <c r="I50" s="159"/>
      <c r="J50" s="147"/>
      <c r="K50" s="261"/>
      <c r="L50"/>
      <c r="M50" s="13"/>
      <c r="N50"/>
      <c r="O50" s="13"/>
      <c r="P50" s="159"/>
      <c r="Q50" s="147"/>
      <c r="R50"/>
      <c r="S50" s="41"/>
      <c r="T50" s="46"/>
      <c r="U50" s="30"/>
      <c r="V50" s="41"/>
      <c r="W50"/>
      <c r="X50" s="13"/>
      <c r="Y50" s="159"/>
      <c r="Z50" s="147"/>
      <c r="AA50" s="13"/>
      <c r="AB50"/>
      <c r="AC50"/>
      <c r="AD50" s="13"/>
      <c r="AE50" s="159"/>
      <c r="AF50" s="147"/>
      <c r="AG50" s="13"/>
      <c r="AH50" s="13">
        <f>SUM(AH2:AH49)</f>
        <v>717.95500000000004</v>
      </c>
      <c r="AI50" s="13">
        <f>SUM(AI2:AI49)</f>
        <v>694.97500000000002</v>
      </c>
      <c r="AJ50" s="13">
        <f>AH50-AI50</f>
        <v>22.980000000000018</v>
      </c>
      <c r="AK50" s="14">
        <f>SUM(AK2:AK49)</f>
        <v>2.3288657407407412</v>
      </c>
      <c r="AL50" s="35">
        <f>SUM(AL2:AL47)</f>
        <v>638.09999999999991</v>
      </c>
      <c r="AM50" s="21">
        <f>SUM(AM2:AM49)</f>
        <v>2.3288657407407403</v>
      </c>
      <c r="AN50"/>
      <c r="AP50"/>
      <c r="AR50"/>
      <c r="AT50"/>
      <c r="AX50"/>
      <c r="AZ50"/>
      <c r="BB50"/>
      <c r="BD50"/>
      <c r="BF50"/>
    </row>
    <row r="51" spans="1:58" s="9" customFormat="1" x14ac:dyDescent="0.25">
      <c r="A51" s="6"/>
      <c r="B51"/>
      <c r="C51"/>
      <c r="D51"/>
      <c r="E51">
        <f>SUM(E2:E47)</f>
        <v>540</v>
      </c>
      <c r="F51" s="46">
        <f>SUM(F2:F47)</f>
        <v>553.83999999999992</v>
      </c>
      <c r="G51"/>
      <c r="H51" s="13"/>
      <c r="I51" s="159"/>
      <c r="J51" s="147"/>
      <c r="K51" s="261"/>
      <c r="L51">
        <f>SUM(L2:L47)</f>
        <v>44</v>
      </c>
      <c r="M51">
        <f>SUM(M2:M47)</f>
        <v>57.14</v>
      </c>
      <c r="N51"/>
      <c r="O51" s="13"/>
      <c r="P51" s="159"/>
      <c r="Q51" s="147"/>
      <c r="R51"/>
      <c r="S51" s="41"/>
      <c r="T51" s="46"/>
      <c r="U51" s="30"/>
      <c r="V51">
        <f>SUM(V2:V47)</f>
        <v>4</v>
      </c>
      <c r="W51"/>
      <c r="X51" s="13"/>
      <c r="Y51" s="159"/>
      <c r="Z51" s="147"/>
      <c r="AA51" s="13"/>
      <c r="AB51">
        <f>SUM(AB2:AB47)</f>
        <v>59</v>
      </c>
      <c r="AC51"/>
      <c r="AD51"/>
      <c r="AE51" s="159"/>
      <c r="AF51" s="147"/>
      <c r="AG51" s="13"/>
      <c r="AH51" s="41"/>
      <c r="AI51"/>
      <c r="AJ51"/>
      <c r="AK51" s="13"/>
      <c r="AL51" s="13"/>
      <c r="AM51" s="13"/>
      <c r="AN51"/>
      <c r="AP51"/>
      <c r="AR51"/>
      <c r="AT51"/>
      <c r="AX51"/>
      <c r="AZ51"/>
      <c r="BB51"/>
      <c r="BD51"/>
      <c r="BF51"/>
    </row>
    <row r="52" spans="1:58" s="9" customFormat="1" x14ac:dyDescent="0.25">
      <c r="A52" s="6"/>
      <c r="B52"/>
      <c r="C52"/>
      <c r="D52"/>
      <c r="E52"/>
      <c r="F52" s="41"/>
      <c r="G52"/>
      <c r="H52" s="13"/>
      <c r="I52" s="159"/>
      <c r="J52" s="147"/>
      <c r="K52" s="261"/>
      <c r="L52"/>
      <c r="M52" s="13"/>
      <c r="N52"/>
      <c r="O52" s="13"/>
      <c r="P52" s="159"/>
      <c r="Q52" s="147"/>
      <c r="R52"/>
      <c r="S52" s="41"/>
      <c r="T52" s="46"/>
      <c r="U52" s="30"/>
      <c r="V52" s="41"/>
      <c r="W52"/>
      <c r="X52" s="13"/>
      <c r="Y52" s="159"/>
      <c r="Z52" s="147"/>
      <c r="AA52" s="13"/>
      <c r="AB52"/>
      <c r="AC52"/>
      <c r="AD52" s="13"/>
      <c r="AE52" s="159"/>
      <c r="AF52" s="147"/>
      <c r="AG52" s="13"/>
      <c r="AH52" s="41"/>
      <c r="AI52"/>
      <c r="AJ52"/>
      <c r="AK52" s="13"/>
      <c r="AL52" s="13"/>
      <c r="AM52" s="13"/>
      <c r="AN52"/>
      <c r="AP52"/>
      <c r="AR52"/>
      <c r="AT52"/>
      <c r="AX52"/>
      <c r="AZ52"/>
      <c r="BB52"/>
      <c r="BD52"/>
      <c r="BF52"/>
    </row>
    <row r="53" spans="1:58" s="9" customFormat="1" x14ac:dyDescent="0.25">
      <c r="A53" s="6"/>
      <c r="B53"/>
      <c r="C53"/>
      <c r="D53"/>
      <c r="E53"/>
      <c r="F53" s="41"/>
      <c r="G53"/>
      <c r="H53" s="13"/>
      <c r="I53" s="159"/>
      <c r="J53" s="147"/>
      <c r="K53" s="261"/>
      <c r="L53"/>
      <c r="M53" s="13"/>
      <c r="N53"/>
      <c r="O53" s="13"/>
      <c r="P53" s="159"/>
      <c r="Q53" s="147"/>
      <c r="R53"/>
      <c r="S53" s="41"/>
      <c r="T53" s="46"/>
      <c r="U53" s="30"/>
      <c r="V53" s="41"/>
      <c r="W53"/>
      <c r="X53" s="13"/>
      <c r="Y53" s="159"/>
      <c r="Z53" s="147"/>
      <c r="AA53" s="13"/>
      <c r="AB53"/>
      <c r="AC53"/>
      <c r="AD53" s="13"/>
      <c r="AE53" s="159"/>
      <c r="AF53" s="147"/>
      <c r="AG53" s="13"/>
      <c r="AH53" s="13"/>
      <c r="AI53"/>
      <c r="AJ53"/>
      <c r="AK53" s="13"/>
      <c r="AL53" s="13"/>
      <c r="AM53" s="13"/>
      <c r="AN53"/>
      <c r="AP53"/>
      <c r="AR53"/>
      <c r="AT53"/>
      <c r="AX53"/>
      <c r="AZ53"/>
      <c r="BB53"/>
      <c r="BD53"/>
      <c r="BF53"/>
    </row>
    <row r="54" spans="1:58" s="9" customFormat="1" x14ac:dyDescent="0.25">
      <c r="A54"/>
      <c r="B54"/>
      <c r="C54"/>
      <c r="D54"/>
      <c r="E54"/>
      <c r="F54" s="41"/>
      <c r="G54"/>
      <c r="H54" s="13"/>
      <c r="I54" s="112"/>
      <c r="J54" s="13"/>
      <c r="K54" s="261"/>
      <c r="L54"/>
      <c r="M54" s="13"/>
      <c r="N54"/>
      <c r="O54" s="13"/>
      <c r="P54" s="112"/>
      <c r="Q54" s="13"/>
      <c r="R54"/>
      <c r="S54" s="41"/>
      <c r="T54" s="46"/>
      <c r="U54" s="30"/>
      <c r="V54" s="41"/>
      <c r="W54"/>
      <c r="X54" s="13"/>
      <c r="Y54" s="112"/>
      <c r="Z54" s="13"/>
      <c r="AA54" s="13"/>
      <c r="AB54"/>
      <c r="AC54"/>
      <c r="AD54" s="13"/>
      <c r="AE54" s="112"/>
      <c r="AF54" s="13"/>
      <c r="AG54" s="13"/>
      <c r="AH54" s="13"/>
      <c r="AI54"/>
      <c r="AJ54"/>
      <c r="AK54" s="13"/>
      <c r="AL54" s="13"/>
      <c r="AM54" s="13"/>
      <c r="AN54"/>
      <c r="AP54"/>
      <c r="AR54"/>
      <c r="AT54"/>
      <c r="AX54"/>
      <c r="AZ54"/>
      <c r="BB54"/>
      <c r="BD54"/>
      <c r="BF54"/>
    </row>
    <row r="55" spans="1:58" s="9" customFormat="1" x14ac:dyDescent="0.25">
      <c r="A55"/>
      <c r="B55"/>
      <c r="C55"/>
      <c r="D55"/>
      <c r="E55"/>
      <c r="F55" s="41"/>
      <c r="G55"/>
      <c r="H55" s="13"/>
      <c r="I55" s="112"/>
      <c r="J55" s="13"/>
      <c r="K55" s="261"/>
      <c r="L55"/>
      <c r="M55" s="13"/>
      <c r="N55"/>
      <c r="O55" s="13"/>
      <c r="P55" s="112"/>
      <c r="Q55" s="13"/>
      <c r="R55"/>
      <c r="S55" s="41"/>
      <c r="T55" s="46"/>
      <c r="U55" s="30"/>
      <c r="V55" s="41"/>
      <c r="W55"/>
      <c r="X55" s="13"/>
      <c r="Y55" s="112"/>
      <c r="Z55" s="13"/>
      <c r="AA55" s="13"/>
      <c r="AB55"/>
      <c r="AC55"/>
      <c r="AD55" s="13"/>
      <c r="AE55" s="112"/>
      <c r="AF55" s="13"/>
      <c r="AG55" s="13"/>
      <c r="AH55" s="13"/>
      <c r="AI55"/>
      <c r="AJ55"/>
      <c r="AK55" s="13"/>
      <c r="AL55" s="13"/>
      <c r="AM55" s="13"/>
      <c r="AN55"/>
      <c r="AP55"/>
      <c r="AR55"/>
      <c r="AT55"/>
      <c r="AX55"/>
      <c r="AZ55"/>
      <c r="BB55"/>
      <c r="BD55"/>
      <c r="BF55"/>
    </row>
    <row r="56" spans="1:58" s="9" customFormat="1" x14ac:dyDescent="0.25">
      <c r="A56"/>
      <c r="B56"/>
      <c r="C56"/>
      <c r="D56"/>
      <c r="E56"/>
      <c r="F56" s="41"/>
      <c r="G56"/>
      <c r="H56" s="13"/>
      <c r="I56" s="112"/>
      <c r="J56" s="13"/>
      <c r="K56" s="261"/>
      <c r="L56"/>
      <c r="M56" s="13"/>
      <c r="N56"/>
      <c r="O56" s="13"/>
      <c r="P56" s="112"/>
      <c r="Q56" s="13"/>
      <c r="R56"/>
      <c r="S56" s="41"/>
      <c r="T56" s="46"/>
      <c r="U56" s="30"/>
      <c r="V56" s="41"/>
      <c r="W56"/>
      <c r="X56" s="13"/>
      <c r="Y56" s="112"/>
      <c r="Z56" s="13"/>
      <c r="AA56" s="13"/>
      <c r="AB56"/>
      <c r="AC56"/>
      <c r="AD56" s="13"/>
      <c r="AE56" s="112"/>
      <c r="AF56" s="13"/>
      <c r="AG56" s="13"/>
      <c r="AH56" s="13"/>
      <c r="AI56"/>
      <c r="AJ56"/>
      <c r="AK56" s="13"/>
      <c r="AL56" s="13"/>
      <c r="AM56" s="13"/>
      <c r="AN56"/>
      <c r="AP56"/>
      <c r="AR56"/>
      <c r="AT56"/>
      <c r="AX56"/>
      <c r="AZ56"/>
      <c r="BB56"/>
      <c r="BD56"/>
      <c r="BF56"/>
    </row>
    <row r="57" spans="1:58" s="9" customFormat="1" x14ac:dyDescent="0.25">
      <c r="A57"/>
      <c r="B57"/>
      <c r="C57"/>
      <c r="D57"/>
      <c r="E57"/>
      <c r="F57" s="41"/>
      <c r="G57"/>
      <c r="H57" s="13"/>
      <c r="I57" s="112"/>
      <c r="J57" s="13"/>
      <c r="K57" s="261"/>
      <c r="L57"/>
      <c r="M57" s="13"/>
      <c r="N57"/>
      <c r="O57" s="13"/>
      <c r="P57" s="112"/>
      <c r="Q57" s="13"/>
      <c r="R57"/>
      <c r="S57" s="41"/>
      <c r="T57" s="46"/>
      <c r="U57" s="30"/>
      <c r="V57" s="41"/>
      <c r="W57"/>
      <c r="X57" s="13"/>
      <c r="Y57" s="112"/>
      <c r="Z57" s="13"/>
      <c r="AA57" s="13"/>
      <c r="AB57"/>
      <c r="AC57"/>
      <c r="AD57" s="13"/>
      <c r="AE57" s="112"/>
      <c r="AF57" s="13"/>
      <c r="AG57" s="13"/>
      <c r="AH57" s="13"/>
      <c r="AI57"/>
      <c r="AJ57"/>
      <c r="AK57" s="13"/>
      <c r="AL57" s="13"/>
      <c r="AM57" s="13"/>
      <c r="AN57"/>
      <c r="AP57"/>
      <c r="AR57"/>
      <c r="AT57"/>
      <c r="AX57"/>
      <c r="AZ57"/>
      <c r="BB57"/>
      <c r="BD57"/>
      <c r="BF57"/>
    </row>
    <row r="58" spans="1:58" s="9" customFormat="1" x14ac:dyDescent="0.25">
      <c r="A58"/>
      <c r="B58"/>
      <c r="C58"/>
      <c r="D58"/>
      <c r="E58"/>
      <c r="F58" s="41"/>
      <c r="G58"/>
      <c r="H58" s="13"/>
      <c r="I58" s="112"/>
      <c r="J58" s="13"/>
      <c r="K58" s="261"/>
      <c r="L58"/>
      <c r="M58" s="13"/>
      <c r="N58"/>
      <c r="O58" s="13"/>
      <c r="P58" s="112"/>
      <c r="Q58" s="13"/>
      <c r="R58"/>
      <c r="S58" s="41"/>
      <c r="T58" s="46"/>
      <c r="U58" s="30"/>
      <c r="V58" s="41"/>
      <c r="W58"/>
      <c r="X58" s="13"/>
      <c r="Y58" s="112"/>
      <c r="Z58" s="13"/>
      <c r="AA58" s="13"/>
      <c r="AB58"/>
      <c r="AC58"/>
      <c r="AD58" s="13"/>
      <c r="AE58" s="112"/>
      <c r="AF58" s="13"/>
      <c r="AG58" s="13"/>
      <c r="AH58" s="13"/>
      <c r="AI58"/>
      <c r="AJ58"/>
      <c r="AK58" s="13"/>
      <c r="AL58" s="13"/>
      <c r="AM58" s="13"/>
      <c r="AN58"/>
      <c r="AP58"/>
      <c r="AR58"/>
      <c r="AT58"/>
      <c r="AX58"/>
      <c r="AZ58"/>
      <c r="BB58"/>
      <c r="BD58"/>
      <c r="BF58"/>
    </row>
    <row r="59" spans="1:58" s="9" customFormat="1" x14ac:dyDescent="0.25">
      <c r="A59"/>
      <c r="B59"/>
      <c r="C59"/>
      <c r="D59"/>
      <c r="E59"/>
      <c r="F59" s="41"/>
      <c r="G59"/>
      <c r="H59" s="13"/>
      <c r="I59" s="112"/>
      <c r="J59" s="13"/>
      <c r="K59" s="261"/>
      <c r="L59"/>
      <c r="M59" s="13"/>
      <c r="N59"/>
      <c r="O59" s="13"/>
      <c r="P59" s="112"/>
      <c r="Q59" s="13"/>
      <c r="R59"/>
      <c r="S59" s="41"/>
      <c r="T59" s="46"/>
      <c r="U59" s="30"/>
      <c r="V59" s="41"/>
      <c r="W59"/>
      <c r="X59" s="13"/>
      <c r="Y59" s="112"/>
      <c r="Z59" s="13"/>
      <c r="AA59" s="13"/>
      <c r="AB59"/>
      <c r="AC59"/>
      <c r="AD59" s="13"/>
      <c r="AE59" s="112"/>
      <c r="AF59" s="13"/>
      <c r="AG59" s="13"/>
      <c r="AH59" s="13"/>
      <c r="AI59"/>
      <c r="AJ59"/>
      <c r="AK59" s="13"/>
      <c r="AL59" s="13"/>
      <c r="AM59" s="13"/>
      <c r="AN59"/>
      <c r="AP59"/>
      <c r="AR59"/>
      <c r="AT59"/>
      <c r="AX59"/>
      <c r="AZ59"/>
      <c r="BB59"/>
      <c r="BD59"/>
      <c r="BF59"/>
    </row>
    <row r="60" spans="1:58" s="9" customFormat="1" x14ac:dyDescent="0.25">
      <c r="A60"/>
      <c r="B60"/>
      <c r="C60"/>
      <c r="D60"/>
      <c r="E60"/>
      <c r="F60" s="41"/>
      <c r="G60"/>
      <c r="H60" s="13"/>
      <c r="I60" s="112"/>
      <c r="J60" s="13"/>
      <c r="K60" s="261"/>
      <c r="L60"/>
      <c r="M60" s="13"/>
      <c r="N60"/>
      <c r="O60" s="13"/>
      <c r="P60" s="112"/>
      <c r="Q60" s="13"/>
      <c r="R60"/>
      <c r="S60" s="41"/>
      <c r="T60" s="46"/>
      <c r="U60" s="30"/>
      <c r="V60" s="41"/>
      <c r="W60"/>
      <c r="X60" s="13"/>
      <c r="Y60" s="112"/>
      <c r="Z60" s="13"/>
      <c r="AA60" s="13"/>
      <c r="AB60"/>
      <c r="AC60"/>
      <c r="AD60" s="13"/>
      <c r="AE60" s="112"/>
      <c r="AF60" s="13"/>
      <c r="AG60" s="13"/>
      <c r="AH60" s="13"/>
      <c r="AI60"/>
      <c r="AJ60"/>
      <c r="AK60" s="13"/>
      <c r="AL60" s="13"/>
      <c r="AM60" s="13"/>
      <c r="AN60"/>
      <c r="AP60"/>
      <c r="AR60"/>
      <c r="AT60"/>
      <c r="AX60"/>
      <c r="AZ60"/>
      <c r="BB60"/>
      <c r="BD60"/>
      <c r="BF60"/>
    </row>
    <row r="61" spans="1:58" s="9" customFormat="1" x14ac:dyDescent="0.25">
      <c r="A61"/>
      <c r="B61"/>
      <c r="C61"/>
      <c r="D61"/>
      <c r="E61"/>
      <c r="F61" s="41"/>
      <c r="G61"/>
      <c r="H61" s="13"/>
      <c r="I61" s="112"/>
      <c r="J61" s="13"/>
      <c r="K61" s="261"/>
      <c r="L61"/>
      <c r="M61" s="13"/>
      <c r="N61"/>
      <c r="O61" s="13"/>
      <c r="P61" s="112"/>
      <c r="Q61" s="13"/>
      <c r="R61"/>
      <c r="S61" s="41"/>
      <c r="T61" s="46"/>
      <c r="U61" s="30"/>
      <c r="V61" s="41"/>
      <c r="W61"/>
      <c r="X61" s="13"/>
      <c r="Y61" s="112"/>
      <c r="Z61" s="13"/>
      <c r="AA61" s="13"/>
      <c r="AB61"/>
      <c r="AC61"/>
      <c r="AD61" s="13"/>
      <c r="AE61" s="112"/>
      <c r="AF61" s="13"/>
      <c r="AG61" s="13"/>
      <c r="AH61" s="13"/>
      <c r="AI61"/>
      <c r="AJ61"/>
      <c r="AK61" s="13"/>
      <c r="AL61" s="13"/>
      <c r="AM61" s="13"/>
      <c r="AN61"/>
      <c r="AP61"/>
      <c r="AR61"/>
      <c r="AT61"/>
      <c r="AX61"/>
      <c r="AZ61"/>
      <c r="BB61"/>
      <c r="BD61"/>
      <c r="BF61"/>
    </row>
    <row r="62" spans="1:58" s="9" customFormat="1" x14ac:dyDescent="0.25">
      <c r="A62"/>
      <c r="B62"/>
      <c r="C62"/>
      <c r="D62"/>
      <c r="E62"/>
      <c r="F62" s="41"/>
      <c r="G62"/>
      <c r="H62" s="13"/>
      <c r="I62" s="112"/>
      <c r="J62" s="13"/>
      <c r="K62" s="261"/>
      <c r="L62"/>
      <c r="M62" s="13"/>
      <c r="N62"/>
      <c r="O62" s="13"/>
      <c r="P62" s="112"/>
      <c r="Q62" s="13"/>
      <c r="R62"/>
      <c r="S62" s="41"/>
      <c r="T62" s="46"/>
      <c r="U62" s="30"/>
      <c r="V62" s="41"/>
      <c r="W62"/>
      <c r="X62" s="13"/>
      <c r="Y62" s="112"/>
      <c r="Z62" s="13"/>
      <c r="AA62" s="13"/>
      <c r="AB62"/>
      <c r="AC62"/>
      <c r="AD62" s="13"/>
      <c r="AE62" s="112"/>
      <c r="AF62" s="13"/>
      <c r="AG62" s="13"/>
      <c r="AH62" s="13"/>
      <c r="AI62"/>
      <c r="AJ62"/>
      <c r="AK62" s="13"/>
      <c r="AL62" s="13"/>
      <c r="AM62" s="13"/>
      <c r="AN62"/>
      <c r="AP62"/>
      <c r="AR62"/>
      <c r="AT62"/>
      <c r="AX62"/>
      <c r="AZ62"/>
      <c r="BB62"/>
      <c r="BD62"/>
      <c r="BF62"/>
    </row>
    <row r="63" spans="1:58" s="9" customFormat="1" x14ac:dyDescent="0.25">
      <c r="A63"/>
      <c r="B63"/>
      <c r="C63"/>
      <c r="D63"/>
      <c r="E63"/>
      <c r="F63" s="41"/>
      <c r="G63"/>
      <c r="H63" s="13"/>
      <c r="I63" s="112"/>
      <c r="J63" s="13"/>
      <c r="K63" s="261"/>
      <c r="L63"/>
      <c r="M63" s="13"/>
      <c r="N63"/>
      <c r="O63" s="13"/>
      <c r="P63" s="112"/>
      <c r="Q63" s="13"/>
      <c r="R63"/>
      <c r="S63" s="41"/>
      <c r="T63" s="46"/>
      <c r="U63" s="30"/>
      <c r="V63" s="41"/>
      <c r="W63"/>
      <c r="X63" s="13"/>
      <c r="Y63" s="112"/>
      <c r="Z63" s="13"/>
      <c r="AA63" s="13"/>
      <c r="AB63"/>
      <c r="AC63"/>
      <c r="AD63" s="13"/>
      <c r="AE63" s="112"/>
      <c r="AF63" s="13"/>
      <c r="AG63" s="13"/>
      <c r="AH63" s="13"/>
      <c r="AI63"/>
      <c r="AJ63"/>
      <c r="AK63" s="13"/>
      <c r="AL63" s="13"/>
      <c r="AM63" s="13"/>
      <c r="AN63"/>
      <c r="AP63"/>
      <c r="AR63"/>
      <c r="AT63"/>
      <c r="AX63"/>
      <c r="AZ63"/>
      <c r="BB63"/>
      <c r="BD63"/>
      <c r="BF63"/>
    </row>
    <row r="64" spans="1:58" s="9" customFormat="1" x14ac:dyDescent="0.25">
      <c r="A64"/>
      <c r="B64"/>
      <c r="C64"/>
      <c r="D64"/>
      <c r="E64"/>
      <c r="F64" s="41"/>
      <c r="G64"/>
      <c r="H64" s="13"/>
      <c r="I64" s="112"/>
      <c r="J64" s="13"/>
      <c r="K64" s="261"/>
      <c r="L64"/>
      <c r="M64" s="13"/>
      <c r="N64"/>
      <c r="O64" s="13"/>
      <c r="P64" s="112"/>
      <c r="Q64" s="13"/>
      <c r="R64"/>
      <c r="S64" s="41"/>
      <c r="T64" s="46"/>
      <c r="U64" s="30"/>
      <c r="V64" s="41"/>
      <c r="W64"/>
      <c r="X64" s="13"/>
      <c r="Y64" s="112"/>
      <c r="Z64" s="13"/>
      <c r="AA64" s="13"/>
      <c r="AB64"/>
      <c r="AC64"/>
      <c r="AD64" s="13"/>
      <c r="AE64" s="112"/>
      <c r="AF64" s="13"/>
      <c r="AG64" s="13"/>
      <c r="AH64" s="13"/>
      <c r="AI64"/>
      <c r="AJ64"/>
      <c r="AK64" s="13"/>
      <c r="AL64" s="13"/>
      <c r="AM64" s="13"/>
      <c r="AN64"/>
      <c r="AP64"/>
      <c r="AR64"/>
      <c r="AT64"/>
      <c r="AX64"/>
      <c r="AZ64"/>
      <c r="BB64"/>
      <c r="BD64"/>
      <c r="BF64"/>
    </row>
    <row r="65" spans="1:59" s="9" customFormat="1" x14ac:dyDescent="0.25">
      <c r="A65"/>
      <c r="B65"/>
      <c r="C65"/>
      <c r="D65"/>
      <c r="E65"/>
      <c r="F65" s="41"/>
      <c r="G65"/>
      <c r="H65" s="13"/>
      <c r="I65" s="112"/>
      <c r="J65" s="13"/>
      <c r="K65" s="261"/>
      <c r="L65"/>
      <c r="M65" s="13"/>
      <c r="N65"/>
      <c r="O65" s="13"/>
      <c r="P65" s="112"/>
      <c r="Q65" s="13"/>
      <c r="R65"/>
      <c r="S65" s="41"/>
      <c r="T65" s="46"/>
      <c r="U65" s="30"/>
      <c r="V65" s="41"/>
      <c r="W65"/>
      <c r="X65" s="13"/>
      <c r="Y65" s="112"/>
      <c r="Z65" s="13"/>
      <c r="AA65" s="13"/>
      <c r="AB65"/>
      <c r="AC65"/>
      <c r="AD65" s="13"/>
      <c r="AE65" s="112"/>
      <c r="AF65" s="13"/>
      <c r="AG65" s="13"/>
      <c r="AH65" s="13"/>
      <c r="AI65"/>
      <c r="AJ65"/>
      <c r="AK65" s="13"/>
      <c r="AL65" s="13"/>
      <c r="AM65" s="13"/>
      <c r="AN65"/>
      <c r="AP65"/>
      <c r="AR65"/>
      <c r="AT65"/>
      <c r="AX65"/>
      <c r="BF65"/>
    </row>
    <row r="66" spans="1:59" s="9" customFormat="1" x14ac:dyDescent="0.25">
      <c r="A66"/>
      <c r="B66"/>
      <c r="C66"/>
      <c r="D66"/>
      <c r="E66"/>
      <c r="F66" s="41"/>
      <c r="G66"/>
      <c r="H66" s="13"/>
      <c r="I66" s="112"/>
      <c r="J66" s="13"/>
      <c r="K66" s="261"/>
      <c r="L66"/>
      <c r="M66" s="13"/>
      <c r="N66"/>
      <c r="O66" s="13"/>
      <c r="P66" s="112"/>
      <c r="Q66" s="13"/>
      <c r="R66"/>
      <c r="S66" s="41"/>
      <c r="T66" s="46"/>
      <c r="U66" s="30"/>
      <c r="V66" s="41"/>
      <c r="W66"/>
      <c r="X66" s="13"/>
      <c r="Y66" s="112"/>
      <c r="Z66" s="13"/>
      <c r="AA66" s="13"/>
      <c r="AB66"/>
      <c r="AC66"/>
      <c r="AD66" s="13"/>
      <c r="AE66" s="112"/>
      <c r="AF66" s="13"/>
      <c r="AG66" s="13"/>
      <c r="AH66" s="13"/>
      <c r="AI66"/>
      <c r="AJ66"/>
      <c r="AK66" s="13"/>
      <c r="AL66" s="13"/>
      <c r="AM66" s="13"/>
      <c r="AN66"/>
      <c r="AP66"/>
      <c r="AR66"/>
      <c r="AT66"/>
      <c r="AX66"/>
      <c r="BF66"/>
    </row>
    <row r="67" spans="1:59" s="9" customFormat="1" x14ac:dyDescent="0.25">
      <c r="A67"/>
      <c r="B67"/>
      <c r="C67"/>
      <c r="D67"/>
      <c r="E67"/>
      <c r="F67" s="41"/>
      <c r="G67"/>
      <c r="H67" s="13"/>
      <c r="I67" s="112"/>
      <c r="J67" s="13"/>
      <c r="K67" s="261"/>
      <c r="L67"/>
      <c r="M67" s="13"/>
      <c r="N67"/>
      <c r="O67" s="13"/>
      <c r="P67" s="112"/>
      <c r="Q67" s="13"/>
      <c r="R67"/>
      <c r="S67" s="41"/>
      <c r="T67" s="46"/>
      <c r="U67" s="30"/>
      <c r="V67" s="41"/>
      <c r="W67"/>
      <c r="X67" s="13"/>
      <c r="Y67" s="112"/>
      <c r="Z67" s="13"/>
      <c r="AA67" s="13"/>
      <c r="AB67"/>
      <c r="AC67"/>
      <c r="AD67" s="13"/>
      <c r="AE67" s="112"/>
      <c r="AF67" s="13"/>
      <c r="AG67" s="13"/>
      <c r="AH67" s="13"/>
      <c r="AI67"/>
      <c r="AJ67"/>
      <c r="AK67" s="13"/>
      <c r="AL67" s="13"/>
      <c r="AM67" s="13"/>
      <c r="AN67"/>
      <c r="AP67"/>
      <c r="AR67"/>
      <c r="AT67"/>
      <c r="AX67"/>
      <c r="BF67"/>
    </row>
    <row r="68" spans="1:59" s="9" customFormat="1" x14ac:dyDescent="0.25">
      <c r="A68"/>
      <c r="B68"/>
      <c r="C68"/>
      <c r="D68"/>
      <c r="E68"/>
      <c r="F68" s="41"/>
      <c r="G68"/>
      <c r="H68" s="13"/>
      <c r="I68" s="112"/>
      <c r="J68" s="13"/>
      <c r="K68" s="261"/>
      <c r="L68"/>
      <c r="M68" s="13"/>
      <c r="N68"/>
      <c r="O68" s="13"/>
      <c r="P68" s="112"/>
      <c r="Q68" s="13"/>
      <c r="R68"/>
      <c r="S68" s="41"/>
      <c r="T68" s="46"/>
      <c r="U68" s="30"/>
      <c r="V68" s="41"/>
      <c r="W68"/>
      <c r="X68" s="13"/>
      <c r="Y68" s="112"/>
      <c r="Z68" s="13"/>
      <c r="AA68" s="13"/>
      <c r="AB68"/>
      <c r="AC68"/>
      <c r="AD68" s="13"/>
      <c r="AE68" s="112"/>
      <c r="AF68" s="13"/>
      <c r="AG68" s="13"/>
      <c r="AH68" s="13"/>
      <c r="AI68"/>
      <c r="AJ68"/>
      <c r="AK68" s="13"/>
      <c r="AL68" s="13"/>
      <c r="AM68" s="13"/>
      <c r="AN68"/>
      <c r="AP68"/>
      <c r="AR68"/>
      <c r="AT68"/>
      <c r="AX68"/>
      <c r="BF68"/>
    </row>
    <row r="69" spans="1:59" s="9" customFormat="1" x14ac:dyDescent="0.25">
      <c r="A69"/>
      <c r="B69"/>
      <c r="C69"/>
      <c r="D69"/>
      <c r="E69"/>
      <c r="F69" s="41"/>
      <c r="G69"/>
      <c r="H69" s="13"/>
      <c r="I69" s="112"/>
      <c r="J69" s="13"/>
      <c r="K69" s="261"/>
      <c r="L69"/>
      <c r="M69" s="13"/>
      <c r="N69"/>
      <c r="O69" s="13"/>
      <c r="P69" s="112"/>
      <c r="Q69" s="13"/>
      <c r="R69"/>
      <c r="S69" s="41"/>
      <c r="T69" s="46"/>
      <c r="U69" s="30"/>
      <c r="V69" s="41"/>
      <c r="W69"/>
      <c r="X69" s="13"/>
      <c r="Y69" s="112"/>
      <c r="Z69" s="13"/>
      <c r="AA69" s="13"/>
      <c r="AB69"/>
      <c r="AC69"/>
      <c r="AD69" s="13"/>
      <c r="AE69" s="112"/>
      <c r="AF69" s="13"/>
      <c r="AG69" s="13"/>
      <c r="AH69" s="13"/>
      <c r="AI69"/>
      <c r="AJ69"/>
      <c r="AK69" s="13"/>
      <c r="AL69" s="13"/>
      <c r="AM69" s="13"/>
      <c r="AN69"/>
      <c r="AP69"/>
      <c r="AR69"/>
      <c r="AT69"/>
      <c r="AX69"/>
      <c r="BF69"/>
    </row>
    <row r="70" spans="1:59" s="9" customFormat="1" x14ac:dyDescent="0.25">
      <c r="A70"/>
      <c r="B70"/>
      <c r="C70"/>
      <c r="D70"/>
      <c r="E70"/>
      <c r="F70" s="41"/>
      <c r="G70"/>
      <c r="H70" s="13"/>
      <c r="I70" s="112"/>
      <c r="J70" s="13"/>
      <c r="K70" s="261"/>
      <c r="L70"/>
      <c r="M70" s="13"/>
      <c r="N70"/>
      <c r="O70" s="13"/>
      <c r="P70" s="112"/>
      <c r="Q70" s="13"/>
      <c r="R70"/>
      <c r="S70" s="41"/>
      <c r="T70" s="46"/>
      <c r="U70" s="30"/>
      <c r="V70" s="41"/>
      <c r="W70"/>
      <c r="X70" s="13"/>
      <c r="Y70" s="112"/>
      <c r="Z70" s="13"/>
      <c r="AA70" s="13"/>
      <c r="AB70"/>
      <c r="AC70"/>
      <c r="AD70" s="13"/>
      <c r="AE70" s="112"/>
      <c r="AF70" s="13"/>
      <c r="AG70" s="13"/>
      <c r="AH70" s="13"/>
      <c r="AI70"/>
      <c r="AJ70"/>
      <c r="AK70" s="13"/>
      <c r="AL70" s="13"/>
      <c r="AM70" s="13"/>
      <c r="AN70"/>
      <c r="AP70"/>
      <c r="AR70"/>
      <c r="AT70"/>
      <c r="AX70"/>
      <c r="BF70"/>
    </row>
    <row r="71" spans="1:59" s="9" customFormat="1" x14ac:dyDescent="0.25">
      <c r="A71"/>
      <c r="B71"/>
      <c r="C71"/>
      <c r="D71"/>
      <c r="E71"/>
      <c r="F71" s="41"/>
      <c r="G71"/>
      <c r="H71" s="13"/>
      <c r="I71" s="112"/>
      <c r="J71" s="13"/>
      <c r="K71" s="261"/>
      <c r="L71"/>
      <c r="M71" s="13"/>
      <c r="N71"/>
      <c r="O71" s="13"/>
      <c r="P71" s="112"/>
      <c r="Q71" s="13"/>
      <c r="R71"/>
      <c r="S71" s="41"/>
      <c r="T71" s="46"/>
      <c r="U71" s="30"/>
      <c r="V71" s="41"/>
      <c r="W71"/>
      <c r="X71" s="13"/>
      <c r="Y71" s="112"/>
      <c r="Z71" s="13"/>
      <c r="AA71" s="13"/>
      <c r="AB71"/>
      <c r="AC71"/>
      <c r="AD71" s="13"/>
      <c r="AE71" s="112"/>
      <c r="AF71" s="13"/>
      <c r="AG71" s="13"/>
      <c r="AH71" s="13"/>
      <c r="AI71"/>
      <c r="AJ71"/>
      <c r="AK71" s="13"/>
      <c r="AL71" s="13"/>
      <c r="AM71" s="13"/>
      <c r="AN71"/>
      <c r="AP71"/>
      <c r="AR71"/>
      <c r="AT71"/>
      <c r="AX71"/>
      <c r="BF71"/>
    </row>
    <row r="72" spans="1:59" s="9" customFormat="1" x14ac:dyDescent="0.25">
      <c r="A72"/>
      <c r="B72"/>
      <c r="C72"/>
      <c r="D72"/>
      <c r="E72"/>
      <c r="F72" s="41"/>
      <c r="G72"/>
      <c r="H72" s="13"/>
      <c r="I72" s="112"/>
      <c r="J72" s="13"/>
      <c r="K72" s="261"/>
      <c r="L72"/>
      <c r="M72" s="13"/>
      <c r="N72"/>
      <c r="O72" s="13"/>
      <c r="P72" s="112"/>
      <c r="Q72" s="13"/>
      <c r="R72"/>
      <c r="S72" s="41"/>
      <c r="T72" s="46"/>
      <c r="U72" s="30"/>
      <c r="V72" s="41"/>
      <c r="W72"/>
      <c r="X72" s="13"/>
      <c r="Y72" s="112"/>
      <c r="Z72" s="13"/>
      <c r="AA72" s="13"/>
      <c r="AB72"/>
      <c r="AC72"/>
      <c r="AD72" s="13"/>
      <c r="AE72" s="112"/>
      <c r="AF72" s="13"/>
      <c r="AG72" s="13"/>
      <c r="AH72" s="13"/>
      <c r="AI72"/>
      <c r="AJ72"/>
      <c r="AK72" s="13"/>
      <c r="AL72" s="13"/>
      <c r="AM72" s="13"/>
      <c r="AN72"/>
      <c r="AP72"/>
      <c r="AR72"/>
      <c r="AT72"/>
      <c r="AX72"/>
      <c r="BF72"/>
    </row>
    <row r="73" spans="1:59" s="9" customFormat="1" x14ac:dyDescent="0.25">
      <c r="A73"/>
      <c r="B73"/>
      <c r="C73"/>
      <c r="D73"/>
      <c r="E73"/>
      <c r="F73" s="41"/>
      <c r="G73"/>
      <c r="H73" s="13"/>
      <c r="I73" s="112"/>
      <c r="J73" s="13"/>
      <c r="K73" s="261"/>
      <c r="L73"/>
      <c r="M73" s="13"/>
      <c r="N73"/>
      <c r="O73" s="13"/>
      <c r="P73" s="112"/>
      <c r="Q73" s="13"/>
      <c r="R73"/>
      <c r="S73" s="41"/>
      <c r="T73" s="46"/>
      <c r="U73" s="30"/>
      <c r="V73" s="41"/>
      <c r="W73"/>
      <c r="X73" s="13"/>
      <c r="Y73" s="112"/>
      <c r="Z73" s="13"/>
      <c r="AA73" s="13"/>
      <c r="AB73"/>
      <c r="AC73"/>
      <c r="AD73" s="13"/>
      <c r="AE73" s="112"/>
      <c r="AF73" s="13"/>
      <c r="AG73" s="13"/>
      <c r="AH73" s="13"/>
      <c r="AI73"/>
      <c r="AJ73"/>
      <c r="AK73" s="13"/>
      <c r="AL73" s="13"/>
      <c r="AM73" s="13"/>
      <c r="AN73"/>
      <c r="AP73"/>
      <c r="AR73"/>
      <c r="AT73"/>
      <c r="AX73"/>
      <c r="BF73"/>
    </row>
    <row r="74" spans="1:59" s="9" customFormat="1" x14ac:dyDescent="0.25">
      <c r="A74"/>
      <c r="B74"/>
      <c r="C74"/>
      <c r="D74"/>
      <c r="E74"/>
      <c r="F74" s="41"/>
      <c r="G74"/>
      <c r="H74" s="13"/>
      <c r="I74" s="112"/>
      <c r="J74" s="13"/>
      <c r="K74" s="261"/>
      <c r="L74"/>
      <c r="M74" s="13"/>
      <c r="N74"/>
      <c r="O74" s="13"/>
      <c r="P74" s="112"/>
      <c r="Q74" s="13"/>
      <c r="R74"/>
      <c r="S74" s="41"/>
      <c r="T74" s="46"/>
      <c r="U74" s="30"/>
      <c r="V74" s="41"/>
      <c r="W74"/>
      <c r="X74" s="13"/>
      <c r="Y74" s="112"/>
      <c r="Z74" s="13"/>
      <c r="AA74" s="13"/>
      <c r="AB74"/>
      <c r="AC74"/>
      <c r="AD74" s="13"/>
      <c r="AE74" s="112"/>
      <c r="AF74" s="13"/>
      <c r="AG74" s="13"/>
      <c r="AH74" s="13"/>
      <c r="AI74"/>
      <c r="AJ74"/>
      <c r="AK74" s="13"/>
      <c r="AL74" s="13"/>
      <c r="AM74" s="13"/>
      <c r="AN74"/>
      <c r="AP74"/>
      <c r="AR74"/>
      <c r="AT74"/>
      <c r="AX74"/>
      <c r="BF74"/>
    </row>
    <row r="75" spans="1:59" s="9" customFormat="1" x14ac:dyDescent="0.25">
      <c r="A75"/>
      <c r="B75"/>
      <c r="C75"/>
      <c r="D75"/>
      <c r="E75"/>
      <c r="F75" s="41"/>
      <c r="G75"/>
      <c r="H75" s="13"/>
      <c r="I75" s="112"/>
      <c r="J75" s="13"/>
      <c r="K75" s="261"/>
      <c r="L75"/>
      <c r="M75" s="13"/>
      <c r="N75"/>
      <c r="O75" s="13"/>
      <c r="P75" s="112"/>
      <c r="Q75" s="13"/>
      <c r="R75"/>
      <c r="S75" s="41"/>
      <c r="T75" s="46"/>
      <c r="U75" s="30"/>
      <c r="V75" s="41"/>
      <c r="W75"/>
      <c r="X75" s="13"/>
      <c r="Y75" s="112"/>
      <c r="Z75" s="13"/>
      <c r="AA75" s="13"/>
      <c r="AB75"/>
      <c r="AC75"/>
      <c r="AD75" s="13"/>
      <c r="AE75" s="112"/>
      <c r="AF75" s="13"/>
      <c r="AG75" s="13"/>
      <c r="AH75" s="13"/>
      <c r="AI75"/>
      <c r="AJ75"/>
      <c r="AK75" s="13"/>
      <c r="AL75" s="13"/>
      <c r="AM75" s="13"/>
      <c r="AN75"/>
      <c r="AP75"/>
      <c r="AR75"/>
      <c r="AT75"/>
      <c r="AX75"/>
      <c r="BF75"/>
    </row>
    <row r="76" spans="1:59" s="9" customFormat="1" x14ac:dyDescent="0.25">
      <c r="A76"/>
      <c r="B76"/>
      <c r="C76"/>
      <c r="D76"/>
      <c r="E76"/>
      <c r="F76" s="41"/>
      <c r="G76"/>
      <c r="H76" s="13"/>
      <c r="I76" s="112"/>
      <c r="J76" s="13"/>
      <c r="K76" s="261"/>
      <c r="L76"/>
      <c r="M76" s="13"/>
      <c r="N76"/>
      <c r="O76" s="13"/>
      <c r="P76" s="112"/>
      <c r="Q76" s="13"/>
      <c r="R76"/>
      <c r="S76" s="41"/>
      <c r="T76" s="46"/>
      <c r="U76" s="30"/>
      <c r="V76" s="41"/>
      <c r="W76"/>
      <c r="X76" s="13"/>
      <c r="Y76" s="112"/>
      <c r="Z76" s="13"/>
      <c r="AA76" s="13"/>
      <c r="AB76"/>
      <c r="AC76"/>
      <c r="AD76" s="13"/>
      <c r="AE76" s="112"/>
      <c r="AF76" s="13"/>
      <c r="AG76" s="13"/>
      <c r="AH76" s="13"/>
      <c r="AI76"/>
      <c r="AJ76"/>
      <c r="AK76" s="13"/>
      <c r="AL76" s="13"/>
      <c r="AM76" s="13"/>
      <c r="AN76"/>
      <c r="AP76"/>
      <c r="AR76"/>
      <c r="AT76"/>
      <c r="AX76"/>
      <c r="BF76"/>
    </row>
    <row r="77" spans="1:59" s="9" customFormat="1" x14ac:dyDescent="0.25">
      <c r="A77"/>
      <c r="B77"/>
      <c r="C77"/>
      <c r="D77"/>
      <c r="E77"/>
      <c r="F77" s="41"/>
      <c r="G77"/>
      <c r="H77" s="13"/>
      <c r="I77" s="112"/>
      <c r="J77" s="13"/>
      <c r="K77" s="261"/>
      <c r="L77"/>
      <c r="M77" s="13"/>
      <c r="N77"/>
      <c r="O77" s="13"/>
      <c r="P77" s="112"/>
      <c r="Q77" s="13"/>
      <c r="R77"/>
      <c r="S77" s="41"/>
      <c r="T77" s="46"/>
      <c r="U77" s="30"/>
      <c r="V77" s="41"/>
      <c r="W77"/>
      <c r="X77" s="13"/>
      <c r="Y77" s="112"/>
      <c r="Z77" s="13"/>
      <c r="AA77" s="13"/>
      <c r="AB77"/>
      <c r="AC77"/>
      <c r="AD77" s="13"/>
      <c r="AE77" s="112"/>
      <c r="AF77" s="13"/>
      <c r="AG77" s="13"/>
      <c r="AH77" s="13"/>
      <c r="AI77"/>
      <c r="AJ77"/>
      <c r="AK77" s="13"/>
      <c r="AL77" s="13"/>
      <c r="AM77" s="13"/>
      <c r="AN77"/>
      <c r="AP77"/>
      <c r="AR77"/>
      <c r="AT77"/>
      <c r="AX77"/>
      <c r="BF77"/>
    </row>
    <row r="78" spans="1:59" s="9" customFormat="1" x14ac:dyDescent="0.25">
      <c r="A78"/>
      <c r="B78"/>
      <c r="C78"/>
      <c r="D78"/>
      <c r="E78"/>
      <c r="F78" s="41"/>
      <c r="G78"/>
      <c r="H78" s="13"/>
      <c r="I78" s="112"/>
      <c r="J78" s="13"/>
      <c r="K78" s="261"/>
      <c r="L78"/>
      <c r="M78" s="13"/>
      <c r="N78"/>
      <c r="O78" s="13"/>
      <c r="P78" s="112"/>
      <c r="Q78" s="13"/>
      <c r="R78"/>
      <c r="S78" s="41"/>
      <c r="T78" s="46"/>
      <c r="U78" s="30"/>
      <c r="V78" s="41"/>
      <c r="W78"/>
      <c r="X78" s="13"/>
      <c r="Y78" s="112"/>
      <c r="Z78" s="13"/>
      <c r="AA78" s="13"/>
      <c r="AB78"/>
      <c r="AC78"/>
      <c r="AD78" s="13"/>
      <c r="AE78" s="112"/>
      <c r="AF78" s="13"/>
      <c r="AG78" s="13"/>
      <c r="AH78" s="13"/>
      <c r="AI78"/>
      <c r="AJ78"/>
      <c r="AK78" s="13"/>
      <c r="AL78" s="13"/>
      <c r="AM78" s="13"/>
      <c r="AN78"/>
      <c r="AP78"/>
      <c r="AR78"/>
      <c r="AT78"/>
      <c r="AX78"/>
      <c r="BF78"/>
    </row>
    <row r="79" spans="1:59" s="9" customFormat="1" x14ac:dyDescent="0.25">
      <c r="A79"/>
      <c r="B79"/>
      <c r="C79"/>
      <c r="D79"/>
      <c r="E79"/>
      <c r="F79" s="41"/>
      <c r="G79"/>
      <c r="H79" s="13"/>
      <c r="I79" s="112"/>
      <c r="J79" s="13"/>
      <c r="K79" s="261"/>
      <c r="L79"/>
      <c r="M79" s="13"/>
      <c r="N79"/>
      <c r="O79" s="13"/>
      <c r="P79" s="112"/>
      <c r="Q79" s="13"/>
      <c r="R79"/>
      <c r="S79" s="41"/>
      <c r="T79" s="46"/>
      <c r="U79" s="30"/>
      <c r="V79" s="41"/>
      <c r="W79"/>
      <c r="X79" s="13"/>
      <c r="Y79" s="112"/>
      <c r="Z79" s="13"/>
      <c r="AA79" s="13"/>
      <c r="AB79"/>
      <c r="AC79"/>
      <c r="AD79" s="13"/>
      <c r="AE79" s="112"/>
      <c r="AF79" s="13"/>
      <c r="AG79" s="13"/>
      <c r="AH79" s="13"/>
      <c r="AI79"/>
      <c r="AJ79"/>
      <c r="AK79" s="13"/>
      <c r="AL79" s="13"/>
      <c r="AM79" s="13"/>
      <c r="AN79"/>
      <c r="AP79"/>
      <c r="AR79"/>
      <c r="AT79"/>
      <c r="AX79"/>
      <c r="BF79"/>
    </row>
    <row r="80" spans="1:59" s="13" customFormat="1" x14ac:dyDescent="0.25">
      <c r="A80"/>
      <c r="B80"/>
      <c r="C80"/>
      <c r="D80"/>
      <c r="E80"/>
      <c r="F80" s="41"/>
      <c r="G80"/>
      <c r="I80" s="112"/>
      <c r="K80" s="261"/>
      <c r="L80"/>
      <c r="N80"/>
      <c r="P80" s="112"/>
      <c r="R80"/>
      <c r="S80" s="41"/>
      <c r="T80" s="46"/>
      <c r="U80" s="30"/>
      <c r="V80" s="41"/>
      <c r="W80"/>
      <c r="Y80" s="112"/>
      <c r="AB80"/>
      <c r="AC80"/>
      <c r="AE80" s="112"/>
      <c r="AI80"/>
      <c r="AJ80"/>
      <c r="AN80"/>
      <c r="AO80" s="9"/>
      <c r="AP80"/>
      <c r="AQ80" s="9"/>
      <c r="AR80"/>
      <c r="AS80" s="9"/>
      <c r="AT80"/>
      <c r="AU80" s="9"/>
      <c r="AV80" s="9"/>
      <c r="AW80" s="9"/>
      <c r="AX80"/>
      <c r="AY80" s="9"/>
      <c r="AZ80" s="9"/>
      <c r="BA80" s="9"/>
      <c r="BB80" s="9"/>
      <c r="BC80" s="9"/>
      <c r="BD80" s="9"/>
      <c r="BE80" s="9"/>
      <c r="BF80"/>
      <c r="BG80" s="9"/>
    </row>
    <row r="81" spans="1:59" s="13" customFormat="1" x14ac:dyDescent="0.25">
      <c r="A81"/>
      <c r="B81"/>
      <c r="C81"/>
      <c r="D81"/>
      <c r="E81"/>
      <c r="F81" s="41"/>
      <c r="G81"/>
      <c r="I81" s="112"/>
      <c r="K81" s="261"/>
      <c r="L81"/>
      <c r="N81"/>
      <c r="P81" s="112"/>
      <c r="R81"/>
      <c r="S81" s="41"/>
      <c r="T81" s="46"/>
      <c r="U81" s="30"/>
      <c r="V81" s="41"/>
      <c r="W81"/>
      <c r="Y81" s="112"/>
      <c r="AB81"/>
      <c r="AC81"/>
      <c r="AE81" s="112"/>
      <c r="AI81"/>
      <c r="AJ81"/>
      <c r="AN81"/>
      <c r="AO81" s="9"/>
      <c r="AP81"/>
      <c r="AQ81" s="9"/>
      <c r="AR81"/>
      <c r="AS81" s="9"/>
      <c r="AT81"/>
      <c r="AU81" s="9"/>
      <c r="AV81" s="9"/>
      <c r="AW81" s="9"/>
      <c r="AX81"/>
      <c r="AY81" s="9"/>
      <c r="AZ81" s="9"/>
      <c r="BA81" s="9"/>
      <c r="BB81" s="9"/>
      <c r="BC81" s="9"/>
      <c r="BD81" s="9"/>
      <c r="BE81" s="9"/>
      <c r="BF81"/>
      <c r="BG81" s="9"/>
    </row>
    <row r="82" spans="1:59" s="13" customFormat="1" x14ac:dyDescent="0.25">
      <c r="A82"/>
      <c r="B82"/>
      <c r="C82"/>
      <c r="D82"/>
      <c r="E82"/>
      <c r="F82" s="41"/>
      <c r="G82"/>
      <c r="I82" s="112"/>
      <c r="K82" s="261"/>
      <c r="L82"/>
      <c r="N82"/>
      <c r="P82" s="112"/>
      <c r="R82"/>
      <c r="S82" s="41"/>
      <c r="T82" s="46"/>
      <c r="U82" s="30"/>
      <c r="V82" s="41"/>
      <c r="W82"/>
      <c r="Y82" s="112"/>
      <c r="AB82"/>
      <c r="AC82"/>
      <c r="AE82" s="112"/>
      <c r="AI82"/>
      <c r="AJ82"/>
      <c r="AN82"/>
      <c r="AO82" s="9"/>
      <c r="AP82"/>
      <c r="AQ82" s="9"/>
      <c r="AR82"/>
      <c r="AS82" s="9"/>
      <c r="AT82"/>
      <c r="AU82" s="9"/>
      <c r="AV82" s="9"/>
      <c r="AW82" s="9"/>
      <c r="AX82"/>
      <c r="AY82" s="9"/>
      <c r="AZ82" s="9"/>
      <c r="BA82" s="9"/>
      <c r="BB82" s="9"/>
      <c r="BC82" s="9"/>
      <c r="BD82" s="9"/>
      <c r="BE82" s="9"/>
      <c r="BF82"/>
      <c r="BG82" s="9"/>
    </row>
    <row r="83" spans="1:59" s="13" customFormat="1" x14ac:dyDescent="0.25">
      <c r="A83"/>
      <c r="B83"/>
      <c r="C83"/>
      <c r="D83"/>
      <c r="E83"/>
      <c r="F83" s="41"/>
      <c r="G83"/>
      <c r="I83" s="112"/>
      <c r="K83" s="261"/>
      <c r="L83"/>
      <c r="N83"/>
      <c r="P83" s="112"/>
      <c r="R83"/>
      <c r="S83" s="41"/>
      <c r="T83" s="46"/>
      <c r="U83" s="30"/>
      <c r="V83" s="41"/>
      <c r="W83"/>
      <c r="Y83" s="112"/>
      <c r="AB83"/>
      <c r="AC83"/>
      <c r="AE83" s="112"/>
      <c r="AI83"/>
      <c r="AJ83"/>
      <c r="AN83"/>
      <c r="AO83" s="9"/>
      <c r="AP83"/>
      <c r="AQ83" s="9"/>
      <c r="AR83"/>
      <c r="AS83" s="9"/>
      <c r="AT83"/>
      <c r="AU83" s="9"/>
      <c r="AV83" s="9"/>
      <c r="AW83" s="9"/>
      <c r="AX83"/>
      <c r="AY83" s="9"/>
      <c r="AZ83" s="9"/>
      <c r="BA83" s="9"/>
      <c r="BB83" s="9"/>
      <c r="BC83" s="9"/>
      <c r="BD83" s="9"/>
      <c r="BE83" s="9"/>
      <c r="BF83"/>
      <c r="BG83" s="9"/>
    </row>
    <row r="84" spans="1:59" s="13" customFormat="1" x14ac:dyDescent="0.25">
      <c r="A84"/>
      <c r="B84"/>
      <c r="C84"/>
      <c r="D84"/>
      <c r="E84"/>
      <c r="F84" s="41"/>
      <c r="G84"/>
      <c r="I84" s="112"/>
      <c r="K84" s="261"/>
      <c r="L84"/>
      <c r="N84"/>
      <c r="P84" s="112"/>
      <c r="R84"/>
      <c r="S84" s="41"/>
      <c r="T84" s="46"/>
      <c r="U84" s="30"/>
      <c r="V84" s="41"/>
      <c r="W84"/>
      <c r="AB84"/>
      <c r="AC84"/>
      <c r="AI84"/>
      <c r="AJ84"/>
      <c r="AN84"/>
      <c r="AO84" s="9"/>
      <c r="AP84"/>
      <c r="AQ84" s="9"/>
      <c r="AR84"/>
      <c r="AS84" s="9"/>
      <c r="AT84"/>
      <c r="AU84" s="9"/>
      <c r="AV84" s="9"/>
      <c r="AW84" s="9"/>
      <c r="AX84"/>
      <c r="AY84" s="9"/>
      <c r="AZ84" s="9"/>
      <c r="BA84" s="9"/>
      <c r="BB84" s="9"/>
      <c r="BC84" s="9"/>
      <c r="BD84" s="9"/>
      <c r="BE84" s="9"/>
      <c r="BF84"/>
      <c r="BG84" s="9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CPH Maraton 2012</vt:lpstr>
      <vt:lpstr>HCA 2012</vt:lpstr>
      <vt:lpstr>Dr. Nielsens 2013</vt:lpstr>
      <vt:lpstr>CPH 2014</vt:lpstr>
      <vt:lpstr>CPH 2015</vt:lpstr>
      <vt:lpstr>Løb som eliten Verona 2015</vt:lpstr>
      <vt:lpstr>5. juni 2016</vt:lpstr>
      <vt:lpstr>22.01.2017</vt:lpstr>
      <vt:lpstr>Manchester 2017</vt:lpstr>
      <vt:lpstr>100 Miles Berlin 2017</vt:lpstr>
      <vt:lpstr>Malta Marathon 2018</vt:lpstr>
      <vt:lpstr>Mål pr. 01.01.2016</vt:lpstr>
      <vt:lpstr>13 i 13</vt:lpstr>
      <vt:lpstr>Træning</vt:lpstr>
      <vt:lpstr>Marathonliste</vt:lpstr>
      <vt:lpstr>Ultraløb</vt:lpstr>
      <vt:lpstr>Løbsliste</vt:lpstr>
      <vt:lpstr>Fartholder</vt:lpstr>
      <vt:lpstr>strategi 100km 2016</vt:lpstr>
      <vt:lpstr>strategi 100M 2017</vt:lpstr>
      <vt:lpstr>strategi 100M 2018</vt:lpstr>
      <vt:lpstr>strategi 100M test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bjarne</dc:creator>
  <cp:lastModifiedBy>Bruger</cp:lastModifiedBy>
  <cp:lastPrinted>2018-02-08T19:10:54Z</cp:lastPrinted>
  <dcterms:created xsi:type="dcterms:W3CDTF">2012-01-30T21:10:53Z</dcterms:created>
  <dcterms:modified xsi:type="dcterms:W3CDTF">2018-11-13T20:38:59Z</dcterms:modified>
</cp:coreProperties>
</file>