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1fb91e31aadc1076/Løb/"/>
    </mc:Choice>
  </mc:AlternateContent>
  <xr:revisionPtr revIDLastSave="1032" documentId="DE78F52E9750847F550F49DBA6335734F1198F54" xr6:coauthVersionLast="37" xr6:coauthVersionMax="37" xr10:uidLastSave="{F948F37F-A957-42BE-A263-D36E962F9C9F}"/>
  <bookViews>
    <workbookView xWindow="0" yWindow="456" windowWidth="33600" windowHeight="19656" tabRatio="500" firstSheet="1" activeTab="3" xr2:uid="{00000000-000D-0000-FFFF-FFFF00000000}"/>
  </bookViews>
  <sheets>
    <sheet name="Dashboard" sheetId="2" r:id="rId1"/>
    <sheet name="Træningslog" sheetId="1" r:id="rId2"/>
    <sheet name="Skemaer" sheetId="4" r:id="rId3"/>
    <sheet name="Marathon" sheetId="5" r:id="rId4"/>
    <sheet name="Maffetone" sheetId="8" r:id="rId5"/>
    <sheet name="Julekalender" sheetId="9" r:id="rId6"/>
    <sheet name="ProcentBoks" sheetId="7" r:id="rId7"/>
  </sheets>
  <externalReferences>
    <externalReference r:id="rId8"/>
  </externalReferences>
  <definedNames>
    <definedName name="Height">Skemaer!$A$14</definedName>
    <definedName name="LastWeight">INDEX([1]Træningsdata!$C:$C,MATCH(9.999E+307,[1]Træningsdata!$C:$C),1)</definedName>
    <definedName name="MT_AAR">Marathon!$C$5:$C$104</definedName>
    <definedName name="PercentThere">Dashboard!$N$22</definedName>
    <definedName name="StartDate">Skemaer!$A$11</definedName>
    <definedName name="TargetDate">Skemaer!$A$20</definedName>
    <definedName name="TargetWeight">Skemaer!$A$17</definedName>
    <definedName name="Weight">Skemaer!$C$11</definedName>
  </definedNames>
  <calcPr calcId="179021"/>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M7" i="5" l="1"/>
  <c r="M8" i="5"/>
  <c r="M9" i="5"/>
  <c r="M10" i="5"/>
  <c r="M11" i="5"/>
  <c r="M12" i="5"/>
  <c r="M13" i="5"/>
  <c r="M14" i="5"/>
  <c r="M15" i="5"/>
  <c r="M5" i="5"/>
  <c r="M6"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5" i="5"/>
  <c r="M4" i="5"/>
  <c r="G80" i="5"/>
  <c r="G81" i="5"/>
  <c r="G82" i="5"/>
  <c r="B111" i="1" l="1"/>
  <c r="B112" i="1"/>
  <c r="B113" i="1"/>
  <c r="B114" i="1"/>
  <c r="B115" i="1"/>
  <c r="B116" i="1"/>
  <c r="B117" i="1"/>
  <c r="B118" i="1"/>
  <c r="B119" i="1"/>
  <c r="B120" i="1"/>
  <c r="B121" i="1"/>
  <c r="B122" i="1"/>
  <c r="H111" i="1"/>
  <c r="H112" i="1"/>
  <c r="H113" i="1"/>
  <c r="H114" i="1"/>
  <c r="H115" i="1"/>
  <c r="H116" i="1"/>
  <c r="H117" i="1"/>
  <c r="H118" i="1"/>
  <c r="H119" i="1"/>
  <c r="H120" i="1"/>
  <c r="H121" i="1"/>
  <c r="H122" i="1"/>
  <c r="K111" i="1"/>
  <c r="K112" i="1"/>
  <c r="K113" i="1"/>
  <c r="K114" i="1"/>
  <c r="K115" i="1"/>
  <c r="K116" i="1"/>
  <c r="K117" i="1"/>
  <c r="K118" i="1"/>
  <c r="K119" i="1"/>
  <c r="K120" i="1"/>
  <c r="K121" i="1"/>
  <c r="K122" i="1"/>
  <c r="G55" i="5" l="1"/>
  <c r="G56" i="5"/>
  <c r="G57" i="5"/>
  <c r="G95" i="5"/>
  <c r="G94" i="5"/>
  <c r="G93" i="5"/>
  <c r="G92" i="5"/>
  <c r="G91" i="5"/>
  <c r="G90" i="5"/>
  <c r="G89" i="5"/>
  <c r="G88" i="5"/>
  <c r="G103" i="5"/>
  <c r="G102" i="5"/>
  <c r="G101" i="5"/>
  <c r="G100" i="5"/>
  <c r="G99" i="5"/>
  <c r="G98" i="5"/>
  <c r="G97" i="5"/>
  <c r="G96" i="5"/>
  <c r="G87" i="5"/>
  <c r="G86" i="5"/>
  <c r="G85" i="5"/>
  <c r="G84" i="5"/>
  <c r="G83" i="5"/>
  <c r="G79" i="5"/>
  <c r="G78" i="5"/>
  <c r="G77" i="5"/>
  <c r="G76" i="5"/>
  <c r="G75" i="5"/>
  <c r="G74" i="5"/>
  <c r="G73" i="5"/>
  <c r="G72" i="5"/>
  <c r="G71" i="5"/>
  <c r="G70" i="5"/>
  <c r="G69" i="5"/>
  <c r="G68" i="5"/>
  <c r="G67" i="5"/>
  <c r="G66" i="5"/>
  <c r="G65" i="5"/>
  <c r="G64" i="5"/>
  <c r="G63" i="5"/>
  <c r="G62" i="5"/>
  <c r="G61" i="5"/>
  <c r="G60" i="5"/>
  <c r="G59" i="5"/>
  <c r="G58" i="5"/>
  <c r="G104" i="5" l="1"/>
  <c r="G54" i="5"/>
  <c r="G53" i="5"/>
  <c r="G52" i="5"/>
  <c r="G51" i="5"/>
  <c r="G50" i="5"/>
  <c r="G49" i="5"/>
  <c r="G48" i="5"/>
  <c r="G47" i="5"/>
  <c r="G46" i="5"/>
  <c r="G45" i="5"/>
  <c r="G44" i="5"/>
  <c r="G43" i="5"/>
  <c r="G42" i="5"/>
  <c r="G41"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G9" i="5"/>
  <c r="G8" i="5"/>
  <c r="G7" i="5"/>
  <c r="G6" i="5"/>
  <c r="G5" i="5"/>
  <c r="B3" i="1" l="1"/>
  <c r="H3" i="1"/>
  <c r="K3" i="1"/>
  <c r="L3" i="1"/>
  <c r="B4" i="1"/>
  <c r="H4" i="1"/>
  <c r="K4" i="1"/>
  <c r="L4" i="1"/>
  <c r="B5" i="1"/>
  <c r="H5" i="1"/>
  <c r="K5" i="1"/>
  <c r="L5" i="1"/>
  <c r="B6" i="1"/>
  <c r="H6" i="1"/>
  <c r="K6" i="1"/>
  <c r="L6" i="1"/>
  <c r="B7" i="1"/>
  <c r="H7" i="1"/>
  <c r="K7" i="1"/>
  <c r="L7" i="1"/>
  <c r="B8" i="1"/>
  <c r="H8" i="1"/>
  <c r="K8" i="1"/>
  <c r="L8" i="1"/>
  <c r="B9" i="1"/>
  <c r="H9" i="1"/>
  <c r="K9" i="1"/>
  <c r="L9" i="1"/>
  <c r="B10" i="1"/>
  <c r="H10" i="1"/>
  <c r="K10" i="1"/>
  <c r="L10" i="1"/>
  <c r="B11" i="1"/>
  <c r="H11" i="1"/>
  <c r="K11" i="1"/>
  <c r="L11" i="1"/>
  <c r="B12" i="1"/>
  <c r="H12" i="1"/>
  <c r="K12" i="1"/>
  <c r="L12" i="1"/>
  <c r="B13" i="1"/>
  <c r="H13" i="1"/>
  <c r="K13" i="1"/>
  <c r="L13" i="1"/>
  <c r="B14" i="1"/>
  <c r="H14" i="1"/>
  <c r="K14" i="1"/>
  <c r="L14" i="1"/>
  <c r="B15" i="1"/>
  <c r="H15" i="1"/>
  <c r="K15" i="1"/>
  <c r="L15" i="1"/>
  <c r="B16" i="1"/>
  <c r="H16" i="1"/>
  <c r="K16" i="1"/>
  <c r="L16" i="1"/>
  <c r="B17" i="1"/>
  <c r="H17" i="1"/>
  <c r="K17" i="1"/>
  <c r="L17" i="1"/>
  <c r="B18" i="1"/>
  <c r="H18" i="1"/>
  <c r="K18" i="1"/>
  <c r="L18" i="1"/>
  <c r="B19" i="1"/>
  <c r="H19" i="1"/>
  <c r="K19" i="1"/>
  <c r="L19" i="1"/>
  <c r="B20" i="1"/>
  <c r="H20" i="1"/>
  <c r="K20" i="1"/>
  <c r="L20" i="1"/>
  <c r="B21" i="1"/>
  <c r="H21" i="1"/>
  <c r="K21" i="1"/>
  <c r="L21" i="1"/>
  <c r="B22" i="1"/>
  <c r="H22" i="1"/>
  <c r="K22" i="1"/>
  <c r="L22" i="1"/>
  <c r="B23" i="1"/>
  <c r="H23" i="1"/>
  <c r="K23" i="1"/>
  <c r="L23" i="1"/>
  <c r="B24" i="1"/>
  <c r="H24" i="1"/>
  <c r="K24" i="1"/>
  <c r="L24" i="1"/>
  <c r="B25" i="1"/>
  <c r="H25" i="1"/>
  <c r="K25" i="1"/>
  <c r="L25" i="1"/>
  <c r="B26" i="1"/>
  <c r="H26" i="1"/>
  <c r="K26" i="1"/>
  <c r="L26" i="1"/>
  <c r="B27" i="1"/>
  <c r="H27" i="1"/>
  <c r="K27" i="1"/>
  <c r="L27" i="1"/>
  <c r="B28" i="1"/>
  <c r="H28" i="1"/>
  <c r="K28" i="1"/>
  <c r="L28" i="1"/>
  <c r="B29" i="1"/>
  <c r="H29" i="1"/>
  <c r="K29" i="1"/>
  <c r="L29" i="1"/>
  <c r="B30" i="1"/>
  <c r="H30" i="1"/>
  <c r="K30" i="1"/>
  <c r="L30" i="1"/>
  <c r="B31" i="1"/>
  <c r="H31" i="1"/>
  <c r="K31" i="1"/>
  <c r="L31" i="1"/>
  <c r="B32" i="1"/>
  <c r="H32" i="1"/>
  <c r="K32" i="1"/>
  <c r="L32" i="1"/>
  <c r="B33" i="1"/>
  <c r="H33" i="1"/>
  <c r="K33" i="1"/>
  <c r="L33" i="1"/>
  <c r="B34" i="1"/>
  <c r="H34" i="1"/>
  <c r="K34" i="1"/>
  <c r="L34" i="1"/>
  <c r="B35" i="1"/>
  <c r="H35" i="1"/>
  <c r="K35" i="1"/>
  <c r="L35" i="1"/>
  <c r="B36" i="1"/>
  <c r="H36" i="1"/>
  <c r="K36" i="1"/>
  <c r="L36" i="1"/>
  <c r="B37" i="1"/>
  <c r="H37" i="1"/>
  <c r="K37" i="1"/>
  <c r="L37" i="1"/>
  <c r="B38" i="1"/>
  <c r="H38" i="1"/>
  <c r="K38" i="1"/>
  <c r="L38" i="1"/>
  <c r="B39" i="1"/>
  <c r="H39" i="1"/>
  <c r="K39" i="1"/>
  <c r="L39" i="1"/>
  <c r="B40" i="1"/>
  <c r="H40" i="1"/>
  <c r="K40" i="1"/>
  <c r="L40" i="1"/>
  <c r="B41" i="1"/>
  <c r="H41" i="1"/>
  <c r="K41" i="1"/>
  <c r="L41" i="1"/>
  <c r="B42" i="1"/>
  <c r="H42" i="1"/>
  <c r="K42" i="1"/>
  <c r="L42" i="1"/>
  <c r="B43" i="1"/>
  <c r="H43" i="1"/>
  <c r="K43" i="1"/>
  <c r="L43" i="1"/>
  <c r="B44" i="1"/>
  <c r="H44" i="1"/>
  <c r="K44" i="1"/>
  <c r="L44" i="1"/>
  <c r="B45" i="1"/>
  <c r="H45" i="1"/>
  <c r="K45" i="1"/>
  <c r="L45" i="1"/>
  <c r="B46" i="1"/>
  <c r="H46" i="1"/>
  <c r="K46" i="1"/>
  <c r="L46" i="1"/>
  <c r="B47" i="1"/>
  <c r="H47" i="1"/>
  <c r="K47" i="1"/>
  <c r="L47" i="1"/>
  <c r="B48" i="1"/>
  <c r="H48" i="1"/>
  <c r="K48" i="1"/>
  <c r="L48" i="1"/>
  <c r="B49" i="1"/>
  <c r="H49" i="1"/>
  <c r="K49" i="1"/>
  <c r="L49" i="1"/>
  <c r="B50" i="1"/>
  <c r="H50" i="1"/>
  <c r="K50" i="1"/>
  <c r="L50" i="1"/>
  <c r="B51" i="1"/>
  <c r="H51" i="1"/>
  <c r="K51" i="1"/>
  <c r="L51" i="1"/>
  <c r="B52" i="1"/>
  <c r="H52" i="1"/>
  <c r="K52" i="1"/>
  <c r="L52" i="1"/>
  <c r="B53" i="1"/>
  <c r="H53" i="1"/>
  <c r="K53" i="1"/>
  <c r="L53" i="1"/>
  <c r="B54" i="1"/>
  <c r="H54" i="1"/>
  <c r="K54" i="1"/>
  <c r="L54" i="1"/>
  <c r="B55" i="1"/>
  <c r="H55" i="1"/>
  <c r="K55" i="1"/>
  <c r="L55" i="1"/>
  <c r="B56" i="1"/>
  <c r="H56" i="1"/>
  <c r="K56" i="1"/>
  <c r="L56" i="1"/>
  <c r="B57" i="1"/>
  <c r="H57" i="1"/>
  <c r="K57" i="1"/>
  <c r="L57" i="1"/>
  <c r="B58" i="1"/>
  <c r="H58" i="1"/>
  <c r="K58" i="1"/>
  <c r="L58" i="1"/>
  <c r="B59" i="1"/>
  <c r="H59" i="1"/>
  <c r="K59" i="1"/>
  <c r="L59" i="1"/>
  <c r="B60" i="1"/>
  <c r="H60" i="1"/>
  <c r="K60" i="1"/>
  <c r="L60" i="1"/>
  <c r="B61" i="1"/>
  <c r="H61" i="1"/>
  <c r="K61" i="1"/>
  <c r="L61" i="1"/>
  <c r="B62" i="1"/>
  <c r="H62" i="1"/>
  <c r="K62" i="1"/>
  <c r="L62" i="1"/>
  <c r="B63" i="1"/>
  <c r="H63" i="1"/>
  <c r="K63" i="1"/>
  <c r="L63" i="1"/>
  <c r="B64" i="1"/>
  <c r="H64" i="1"/>
  <c r="K64" i="1"/>
  <c r="L64" i="1"/>
  <c r="B65" i="1"/>
  <c r="H65" i="1"/>
  <c r="K65" i="1"/>
  <c r="L65" i="1"/>
  <c r="B66" i="1"/>
  <c r="H66" i="1"/>
  <c r="K66" i="1"/>
  <c r="L66" i="1"/>
  <c r="B67" i="1"/>
  <c r="H67" i="1"/>
  <c r="K67" i="1"/>
  <c r="L67" i="1"/>
  <c r="B68" i="1"/>
  <c r="H68" i="1"/>
  <c r="K68" i="1"/>
  <c r="L68" i="1"/>
  <c r="B69" i="1"/>
  <c r="H69" i="1"/>
  <c r="K69" i="1"/>
  <c r="L69" i="1"/>
  <c r="B70" i="1"/>
  <c r="H70" i="1"/>
  <c r="K70" i="1"/>
  <c r="L70" i="1"/>
  <c r="B71" i="1"/>
  <c r="H71" i="1"/>
  <c r="K71" i="1"/>
  <c r="L71" i="1"/>
  <c r="B72" i="1"/>
  <c r="H72" i="1"/>
  <c r="K72" i="1"/>
  <c r="L72" i="1"/>
  <c r="B73" i="1"/>
  <c r="H73" i="1"/>
  <c r="K73" i="1"/>
  <c r="L73" i="1"/>
  <c r="B74" i="1"/>
  <c r="H74" i="1"/>
  <c r="K74" i="1"/>
  <c r="L74" i="1"/>
  <c r="B75" i="1"/>
  <c r="H75" i="1"/>
  <c r="K75" i="1"/>
  <c r="L75" i="1"/>
  <c r="B76" i="1"/>
  <c r="H76" i="1"/>
  <c r="K76" i="1"/>
  <c r="L76" i="1"/>
  <c r="B77" i="1"/>
  <c r="H77" i="1"/>
  <c r="K77" i="1"/>
  <c r="L77" i="1"/>
  <c r="B78" i="1"/>
  <c r="H78" i="1"/>
  <c r="K78" i="1"/>
  <c r="L78" i="1"/>
  <c r="B79" i="1"/>
  <c r="H79" i="1"/>
  <c r="K79" i="1"/>
  <c r="E13" i="4" s="1"/>
  <c r="L79" i="1"/>
  <c r="B80" i="1"/>
  <c r="H80" i="1"/>
  <c r="K80" i="1"/>
  <c r="L80" i="1"/>
  <c r="B81" i="1"/>
  <c r="H81" i="1"/>
  <c r="K81" i="1"/>
  <c r="L81" i="1"/>
  <c r="B82" i="1"/>
  <c r="H82" i="1"/>
  <c r="K82" i="1"/>
  <c r="L82" i="1"/>
  <c r="B83" i="1"/>
  <c r="H83" i="1"/>
  <c r="K83" i="1"/>
  <c r="L83" i="1"/>
  <c r="B84" i="1"/>
  <c r="H84" i="1"/>
  <c r="K84" i="1"/>
  <c r="L84" i="1"/>
  <c r="B85" i="1"/>
  <c r="H85" i="1"/>
  <c r="K85" i="1"/>
  <c r="L85" i="1"/>
  <c r="B86" i="1"/>
  <c r="H86" i="1"/>
  <c r="K86" i="1"/>
  <c r="L86" i="1"/>
  <c r="B87" i="1"/>
  <c r="H87" i="1"/>
  <c r="K87" i="1"/>
  <c r="L87" i="1"/>
  <c r="B88" i="1"/>
  <c r="H88" i="1"/>
  <c r="K88" i="1"/>
  <c r="L88" i="1"/>
  <c r="B89" i="1"/>
  <c r="H89" i="1"/>
  <c r="K89" i="1"/>
  <c r="L89" i="1"/>
  <c r="B90" i="1"/>
  <c r="H90" i="1"/>
  <c r="K90" i="1"/>
  <c r="L90" i="1"/>
  <c r="B91" i="1"/>
  <c r="H91" i="1"/>
  <c r="K91" i="1"/>
  <c r="L91" i="1"/>
  <c r="B92" i="1"/>
  <c r="H92" i="1"/>
  <c r="K92" i="1"/>
  <c r="L92" i="1"/>
  <c r="B93" i="1"/>
  <c r="H93" i="1"/>
  <c r="K93" i="1"/>
  <c r="L93" i="1"/>
  <c r="B94" i="1"/>
  <c r="H94" i="1"/>
  <c r="K94" i="1"/>
  <c r="L94" i="1"/>
  <c r="B95" i="1"/>
  <c r="H95" i="1"/>
  <c r="K95" i="1"/>
  <c r="L95" i="1"/>
  <c r="B96" i="1"/>
  <c r="H96" i="1"/>
  <c r="K96" i="1"/>
  <c r="L96" i="1"/>
  <c r="B97" i="1"/>
  <c r="H97" i="1"/>
  <c r="K97" i="1"/>
  <c r="L97" i="1"/>
  <c r="B98" i="1"/>
  <c r="H98" i="1"/>
  <c r="K98" i="1"/>
  <c r="L98" i="1"/>
  <c r="B99" i="1"/>
  <c r="H99" i="1"/>
  <c r="K99" i="1"/>
  <c r="L99" i="1"/>
  <c r="B100" i="1"/>
  <c r="H100" i="1"/>
  <c r="K100" i="1"/>
  <c r="L100" i="1"/>
  <c r="B101" i="1"/>
  <c r="H101" i="1"/>
  <c r="K101" i="1"/>
  <c r="L101" i="1"/>
  <c r="B102" i="1"/>
  <c r="H102" i="1"/>
  <c r="K102" i="1"/>
  <c r="L102" i="1"/>
  <c r="B103" i="1"/>
  <c r="H103" i="1"/>
  <c r="K103" i="1"/>
  <c r="L103" i="1"/>
  <c r="B104" i="1"/>
  <c r="H104" i="1"/>
  <c r="K104" i="1"/>
  <c r="L104" i="1"/>
  <c r="B105" i="1"/>
  <c r="H105" i="1"/>
  <c r="K105" i="1"/>
  <c r="L105" i="1"/>
  <c r="B106" i="1"/>
  <c r="H106" i="1"/>
  <c r="K106" i="1"/>
  <c r="L106" i="1"/>
  <c r="B107" i="1"/>
  <c r="H107" i="1"/>
  <c r="K107" i="1"/>
  <c r="L107" i="1"/>
  <c r="B108" i="1"/>
  <c r="H108" i="1"/>
  <c r="K108" i="1"/>
  <c r="L108" i="1"/>
  <c r="B109" i="1"/>
  <c r="H109" i="1"/>
  <c r="K109" i="1"/>
  <c r="L109" i="1"/>
  <c r="B110" i="1"/>
  <c r="H110" i="1"/>
  <c r="K110" i="1"/>
  <c r="L110" i="1"/>
  <c r="P3" i="1"/>
  <c r="AT16" i="7"/>
  <c r="AS16" i="7"/>
  <c r="AR16" i="7"/>
  <c r="AQ16" i="7"/>
  <c r="AP16" i="7"/>
  <c r="AO16" i="7"/>
  <c r="AN16" i="7"/>
  <c r="AM16" i="7"/>
  <c r="AL16" i="7"/>
  <c r="AT15" i="7"/>
  <c r="AS15" i="7"/>
  <c r="AR15" i="7"/>
  <c r="AQ15" i="7"/>
  <c r="AP15" i="7"/>
  <c r="AO15" i="7"/>
  <c r="AN15" i="7"/>
  <c r="AM15" i="7"/>
  <c r="AL15" i="7"/>
  <c r="AK15" i="7"/>
  <c r="AT14" i="7"/>
  <c r="AS14" i="7"/>
  <c r="AR14" i="7"/>
  <c r="AQ14" i="7"/>
  <c r="AP14" i="7"/>
  <c r="AO14" i="7"/>
  <c r="AN14" i="7"/>
  <c r="AM14" i="7"/>
  <c r="AL14" i="7"/>
  <c r="AK14" i="7"/>
  <c r="AT13" i="7"/>
  <c r="AS13" i="7"/>
  <c r="AR13" i="7"/>
  <c r="AQ13" i="7"/>
  <c r="AP13" i="7"/>
  <c r="AO13" i="7"/>
  <c r="AN13" i="7"/>
  <c r="AM13" i="7"/>
  <c r="AL13" i="7"/>
  <c r="AK13" i="7"/>
  <c r="AT12" i="7"/>
  <c r="AS12" i="7"/>
  <c r="AR12" i="7"/>
  <c r="AQ12" i="7"/>
  <c r="AP12" i="7"/>
  <c r="AO12" i="7"/>
  <c r="AN12" i="7"/>
  <c r="AM12" i="7"/>
  <c r="AL12" i="7"/>
  <c r="AK12" i="7"/>
  <c r="AT11" i="7"/>
  <c r="AS11" i="7"/>
  <c r="AR11" i="7"/>
  <c r="AQ11" i="7"/>
  <c r="AP11" i="7"/>
  <c r="AO11" i="7"/>
  <c r="AN11" i="7"/>
  <c r="AM11" i="7"/>
  <c r="AL11" i="7"/>
  <c r="AK11" i="7"/>
  <c r="AT10" i="7"/>
  <c r="AS10" i="7"/>
  <c r="AR10" i="7"/>
  <c r="AQ10" i="7"/>
  <c r="AP10" i="7"/>
  <c r="AO10" i="7"/>
  <c r="AN10" i="7"/>
  <c r="AM10" i="7"/>
  <c r="AL10" i="7"/>
  <c r="AK10" i="7"/>
  <c r="AT9" i="7"/>
  <c r="AS9" i="7"/>
  <c r="AR9" i="7"/>
  <c r="AQ9" i="7"/>
  <c r="AP9" i="7"/>
  <c r="AO9" i="7"/>
  <c r="AN9" i="7"/>
  <c r="AM9" i="7"/>
  <c r="AL9" i="7"/>
  <c r="AK9" i="7"/>
  <c r="AT8" i="7"/>
  <c r="AS8" i="7"/>
  <c r="AR8" i="7"/>
  <c r="AQ8" i="7"/>
  <c r="AP8" i="7"/>
  <c r="AO8" i="7"/>
  <c r="AN8" i="7"/>
  <c r="AM8" i="7"/>
  <c r="AL8" i="7"/>
  <c r="AK8" i="7"/>
  <c r="AT7" i="7"/>
  <c r="AS7" i="7"/>
  <c r="AR7" i="7"/>
  <c r="AQ7" i="7"/>
  <c r="AP7" i="7"/>
  <c r="AO7" i="7"/>
  <c r="AN7" i="7"/>
  <c r="AM7" i="7"/>
  <c r="AL7" i="7"/>
  <c r="AK7" i="7"/>
  <c r="AK16" i="7"/>
  <c r="AI16" i="7"/>
  <c r="AH16" i="7"/>
  <c r="AG16" i="7"/>
  <c r="AF16" i="7"/>
  <c r="AE16" i="7"/>
  <c r="AD16" i="7"/>
  <c r="AC16" i="7"/>
  <c r="AB16" i="7"/>
  <c r="AA16" i="7"/>
  <c r="AI15" i="7"/>
  <c r="AH15" i="7"/>
  <c r="AG15" i="7"/>
  <c r="AF15" i="7"/>
  <c r="AE15" i="7"/>
  <c r="AD15" i="7"/>
  <c r="AC15" i="7"/>
  <c r="AB15" i="7"/>
  <c r="AA15" i="7"/>
  <c r="Z15" i="7"/>
  <c r="AI14" i="7"/>
  <c r="AH14" i="7"/>
  <c r="AG14" i="7"/>
  <c r="AF14" i="7"/>
  <c r="AE14" i="7"/>
  <c r="AD14" i="7"/>
  <c r="AC14" i="7"/>
  <c r="AB14" i="7"/>
  <c r="AA14" i="7"/>
  <c r="Z14" i="7"/>
  <c r="AI13" i="7"/>
  <c r="AH13" i="7"/>
  <c r="AG13" i="7"/>
  <c r="AF13" i="7"/>
  <c r="AE13" i="7"/>
  <c r="AD13" i="7"/>
  <c r="AC13" i="7"/>
  <c r="AB13" i="7"/>
  <c r="AA13" i="7"/>
  <c r="Z13" i="7"/>
  <c r="AI12" i="7"/>
  <c r="AH12" i="7"/>
  <c r="AG12" i="7"/>
  <c r="AF12" i="7"/>
  <c r="AE12" i="7"/>
  <c r="AD12" i="7"/>
  <c r="AC12" i="7"/>
  <c r="AB12" i="7"/>
  <c r="AA12" i="7"/>
  <c r="Z12" i="7"/>
  <c r="AI11" i="7"/>
  <c r="AH11" i="7"/>
  <c r="AG11" i="7"/>
  <c r="AF11" i="7"/>
  <c r="AE11" i="7"/>
  <c r="AD11" i="7"/>
  <c r="AC11" i="7"/>
  <c r="AB11" i="7"/>
  <c r="AA11" i="7"/>
  <c r="Z11" i="7"/>
  <c r="AI10" i="7"/>
  <c r="AH10" i="7"/>
  <c r="AG10" i="7"/>
  <c r="AF10" i="7"/>
  <c r="AE10" i="7"/>
  <c r="AD10" i="7"/>
  <c r="AC10" i="7"/>
  <c r="AB10" i="7"/>
  <c r="AA10" i="7"/>
  <c r="Z10" i="7"/>
  <c r="AI9" i="7"/>
  <c r="AH9" i="7"/>
  <c r="AG9" i="7"/>
  <c r="AF9" i="7"/>
  <c r="AE9" i="7"/>
  <c r="AD9" i="7"/>
  <c r="AC9" i="7"/>
  <c r="AB9" i="7"/>
  <c r="AA9" i="7"/>
  <c r="Z9" i="7"/>
  <c r="AI8" i="7"/>
  <c r="AH8" i="7"/>
  <c r="AG8" i="7"/>
  <c r="AF8" i="7"/>
  <c r="AE8" i="7"/>
  <c r="AD8" i="7"/>
  <c r="AC8" i="7"/>
  <c r="AB8" i="7"/>
  <c r="AA8" i="7"/>
  <c r="Z8" i="7"/>
  <c r="AI7" i="7"/>
  <c r="AH7" i="7"/>
  <c r="AG7" i="7"/>
  <c r="AF7" i="7"/>
  <c r="AE7" i="7"/>
  <c r="AD7" i="7"/>
  <c r="AC7" i="7"/>
  <c r="AB7" i="7"/>
  <c r="AA7" i="7"/>
  <c r="Z7" i="7"/>
  <c r="Z16" i="7"/>
  <c r="X16" i="7"/>
  <c r="W16" i="7"/>
  <c r="V16" i="7"/>
  <c r="U16" i="7"/>
  <c r="T16" i="7"/>
  <c r="S16" i="7"/>
  <c r="R16" i="7"/>
  <c r="Q16" i="7"/>
  <c r="P16" i="7"/>
  <c r="O16" i="7"/>
  <c r="X15" i="7"/>
  <c r="W15" i="7"/>
  <c r="V15" i="7"/>
  <c r="U15" i="7"/>
  <c r="T15" i="7"/>
  <c r="S15" i="7"/>
  <c r="R15" i="7"/>
  <c r="Q15" i="7"/>
  <c r="P15" i="7"/>
  <c r="O15" i="7"/>
  <c r="X14" i="7"/>
  <c r="W14" i="7"/>
  <c r="V14" i="7"/>
  <c r="U14" i="7"/>
  <c r="T14" i="7"/>
  <c r="S14" i="7"/>
  <c r="R14" i="7"/>
  <c r="Q14" i="7"/>
  <c r="P14" i="7"/>
  <c r="O14" i="7"/>
  <c r="X13" i="7"/>
  <c r="W13" i="7"/>
  <c r="V13" i="7"/>
  <c r="U13" i="7"/>
  <c r="T13" i="7"/>
  <c r="S13" i="7"/>
  <c r="R13" i="7"/>
  <c r="Q13" i="7"/>
  <c r="P13" i="7"/>
  <c r="O13" i="7"/>
  <c r="X12" i="7"/>
  <c r="W12" i="7"/>
  <c r="V12" i="7"/>
  <c r="U12" i="7"/>
  <c r="T12" i="7"/>
  <c r="S12" i="7"/>
  <c r="R12" i="7"/>
  <c r="Q12" i="7"/>
  <c r="P12" i="7"/>
  <c r="O12" i="7"/>
  <c r="X11" i="7"/>
  <c r="W11" i="7"/>
  <c r="V11" i="7"/>
  <c r="U11" i="7"/>
  <c r="T11" i="7"/>
  <c r="S11" i="7"/>
  <c r="R11" i="7"/>
  <c r="Q11" i="7"/>
  <c r="P11" i="7"/>
  <c r="O11" i="7"/>
  <c r="X10" i="7"/>
  <c r="W10" i="7"/>
  <c r="V10" i="7"/>
  <c r="U10" i="7"/>
  <c r="T10" i="7"/>
  <c r="S10" i="7"/>
  <c r="R10" i="7"/>
  <c r="Q10" i="7"/>
  <c r="P10" i="7"/>
  <c r="O10" i="7"/>
  <c r="X9" i="7"/>
  <c r="W9" i="7"/>
  <c r="V9" i="7"/>
  <c r="U9" i="7"/>
  <c r="T9" i="7"/>
  <c r="S9" i="7"/>
  <c r="R9" i="7"/>
  <c r="Q9" i="7"/>
  <c r="P9" i="7"/>
  <c r="O9" i="7"/>
  <c r="X8" i="7"/>
  <c r="W8" i="7"/>
  <c r="V8" i="7"/>
  <c r="U8" i="7"/>
  <c r="T8" i="7"/>
  <c r="S8" i="7"/>
  <c r="R8" i="7"/>
  <c r="Q8" i="7"/>
  <c r="P8" i="7"/>
  <c r="O8" i="7"/>
  <c r="X7" i="7"/>
  <c r="W7" i="7"/>
  <c r="V7" i="7"/>
  <c r="U7" i="7"/>
  <c r="T7" i="7"/>
  <c r="S7" i="7"/>
  <c r="R7" i="7"/>
  <c r="Q7" i="7"/>
  <c r="P7" i="7"/>
  <c r="O7" i="7"/>
  <c r="E7" i="9"/>
  <c r="E13" i="9"/>
  <c r="E19" i="9"/>
  <c r="E25" i="9"/>
  <c r="A26" i="9"/>
  <c r="H25" i="9"/>
  <c r="G25" i="9"/>
  <c r="D25" i="9"/>
  <c r="H24" i="9"/>
  <c r="G24" i="9"/>
  <c r="D24" i="9"/>
  <c r="H23" i="9"/>
  <c r="G23" i="9"/>
  <c r="D23" i="9"/>
  <c r="H22" i="9"/>
  <c r="G22" i="9"/>
  <c r="D22" i="9"/>
  <c r="H21" i="9"/>
  <c r="G21" i="9"/>
  <c r="D21" i="9"/>
  <c r="H20" i="9"/>
  <c r="G20" i="9"/>
  <c r="D20" i="9"/>
  <c r="H19" i="9"/>
  <c r="G19" i="9"/>
  <c r="D19" i="9"/>
  <c r="H18" i="9"/>
  <c r="G18" i="9"/>
  <c r="D18" i="9"/>
  <c r="H17" i="9"/>
  <c r="G17" i="9"/>
  <c r="D17" i="9"/>
  <c r="H16" i="9"/>
  <c r="G16" i="9"/>
  <c r="D16" i="9"/>
  <c r="H15" i="9"/>
  <c r="G15" i="9"/>
  <c r="D15" i="9"/>
  <c r="H14" i="9"/>
  <c r="G14" i="9"/>
  <c r="D14" i="9"/>
  <c r="H13" i="9"/>
  <c r="G13" i="9"/>
  <c r="D13" i="9"/>
  <c r="H12" i="9"/>
  <c r="G12" i="9"/>
  <c r="D12" i="9"/>
  <c r="H11" i="9"/>
  <c r="G11" i="9"/>
  <c r="D11" i="9"/>
  <c r="H10" i="9"/>
  <c r="G10" i="9"/>
  <c r="D10" i="9"/>
  <c r="H9" i="9"/>
  <c r="G9" i="9"/>
  <c r="D9" i="9"/>
  <c r="H8" i="9"/>
  <c r="G8" i="9"/>
  <c r="D8" i="9"/>
  <c r="H7" i="9"/>
  <c r="G7" i="9"/>
  <c r="D7" i="9"/>
  <c r="H6" i="9"/>
  <c r="G6" i="9"/>
  <c r="D6" i="9"/>
  <c r="H5" i="9"/>
  <c r="G5" i="9"/>
  <c r="D5" i="9"/>
  <c r="H4" i="9"/>
  <c r="G4" i="9"/>
  <c r="D4" i="9"/>
  <c r="H3" i="9"/>
  <c r="G3" i="9"/>
  <c r="D3" i="9"/>
  <c r="H2" i="9"/>
  <c r="G2" i="9"/>
  <c r="D2" i="9"/>
  <c r="A2" i="2"/>
  <c r="M11" i="4"/>
  <c r="N11" i="4" s="1"/>
  <c r="M12" i="4"/>
  <c r="N12" i="4" s="1"/>
  <c r="B26" i="8"/>
  <c r="K26" i="8"/>
  <c r="J26" i="8"/>
  <c r="I26" i="8"/>
  <c r="H26" i="8"/>
  <c r="G26" i="8"/>
  <c r="F26" i="8"/>
  <c r="E26" i="8"/>
  <c r="D26" i="8"/>
  <c r="B17" i="8"/>
  <c r="B3" i="8"/>
  <c r="M7" i="7"/>
  <c r="L7" i="7"/>
  <c r="K7" i="7"/>
  <c r="J7" i="7"/>
  <c r="I7" i="7"/>
  <c r="H7" i="7"/>
  <c r="G7" i="7"/>
  <c r="F7" i="7"/>
  <c r="E7" i="7"/>
  <c r="M14" i="7"/>
  <c r="M13" i="7"/>
  <c r="M12" i="7"/>
  <c r="M11" i="7"/>
  <c r="M10" i="7"/>
  <c r="M9" i="7"/>
  <c r="M8" i="7"/>
  <c r="M15" i="7"/>
  <c r="L15" i="7"/>
  <c r="K15" i="7"/>
  <c r="J15" i="7"/>
  <c r="I15" i="7"/>
  <c r="H15" i="7"/>
  <c r="G15" i="7"/>
  <c r="F15" i="7"/>
  <c r="L14" i="7"/>
  <c r="K14" i="7"/>
  <c r="J14" i="7"/>
  <c r="I14" i="7"/>
  <c r="H14" i="7"/>
  <c r="G14" i="7"/>
  <c r="F14" i="7"/>
  <c r="E14" i="7"/>
  <c r="L13" i="7"/>
  <c r="K13" i="7"/>
  <c r="J13" i="7"/>
  <c r="I13" i="7"/>
  <c r="H13" i="7"/>
  <c r="G13" i="7"/>
  <c r="F13" i="7"/>
  <c r="E13" i="7"/>
  <c r="L12" i="7"/>
  <c r="K12" i="7"/>
  <c r="J12" i="7"/>
  <c r="I12" i="7"/>
  <c r="H12" i="7"/>
  <c r="G12" i="7"/>
  <c r="F12" i="7"/>
  <c r="E12" i="7"/>
  <c r="L11" i="7"/>
  <c r="K11" i="7"/>
  <c r="J11" i="7"/>
  <c r="I11" i="7"/>
  <c r="H11" i="7"/>
  <c r="G11" i="7"/>
  <c r="F11" i="7"/>
  <c r="E11" i="7"/>
  <c r="L10" i="7"/>
  <c r="K10" i="7"/>
  <c r="J10" i="7"/>
  <c r="I10" i="7"/>
  <c r="H10" i="7"/>
  <c r="G10" i="7"/>
  <c r="F10" i="7"/>
  <c r="E10" i="7"/>
  <c r="L9" i="7"/>
  <c r="K9" i="7"/>
  <c r="J9" i="7"/>
  <c r="I9" i="7"/>
  <c r="H9" i="7"/>
  <c r="G9" i="7"/>
  <c r="F9" i="7"/>
  <c r="E9" i="7"/>
  <c r="L8" i="7"/>
  <c r="K8" i="7"/>
  <c r="J8" i="7"/>
  <c r="I8" i="7"/>
  <c r="H8" i="7"/>
  <c r="G8" i="7"/>
  <c r="F8" i="7"/>
  <c r="E8" i="7"/>
  <c r="E15" i="7"/>
  <c r="D14" i="7"/>
  <c r="D13" i="7"/>
  <c r="D12" i="7"/>
  <c r="D11" i="7"/>
  <c r="D10" i="7"/>
  <c r="D9" i="7"/>
  <c r="D8" i="7"/>
  <c r="D15" i="7"/>
  <c r="M16" i="7"/>
  <c r="L16" i="7"/>
  <c r="K16" i="7"/>
  <c r="J16" i="7"/>
  <c r="I16" i="7"/>
  <c r="H16" i="7"/>
  <c r="G16" i="7"/>
  <c r="F16" i="7"/>
  <c r="E16" i="7"/>
  <c r="D16" i="7"/>
  <c r="D7" i="7"/>
  <c r="AK6" i="7"/>
  <c r="Z6" i="7"/>
  <c r="O6" i="7"/>
  <c r="D6" i="7"/>
  <c r="D5" i="7"/>
  <c r="D1" i="1"/>
  <c r="P19" i="4"/>
  <c r="P18" i="4"/>
  <c r="P17" i="4"/>
  <c r="P16" i="4"/>
  <c r="P15" i="4"/>
  <c r="P10" i="4"/>
  <c r="P9" i="4"/>
  <c r="P8" i="4"/>
  <c r="P7" i="4"/>
  <c r="P6" i="4"/>
  <c r="M6" i="4"/>
  <c r="N6" i="4" s="1"/>
  <c r="M7" i="4"/>
  <c r="N7" i="4" s="1"/>
  <c r="M8" i="4"/>
  <c r="N8" i="4" s="1"/>
  <c r="M9" i="4"/>
  <c r="N9" i="4" s="1"/>
  <c r="M10" i="4"/>
  <c r="N10" i="4" s="1"/>
  <c r="L16" i="4"/>
  <c r="L17" i="4"/>
  <c r="L18" i="4"/>
  <c r="L19" i="4"/>
  <c r="L20" i="4"/>
  <c r="D5" i="4"/>
  <c r="E5" i="4"/>
  <c r="F5" i="4"/>
  <c r="G5" i="4"/>
  <c r="H5" i="4"/>
  <c r="E26" i="9" l="1"/>
  <c r="C9" i="4"/>
  <c r="F16" i="4"/>
  <c r="H14" i="4"/>
  <c r="F8" i="4"/>
  <c r="G16" i="4"/>
  <c r="D13" i="4"/>
  <c r="D10" i="4"/>
  <c r="G7" i="4"/>
  <c r="D15" i="4"/>
  <c r="E10" i="4"/>
  <c r="H6" i="4"/>
  <c r="F17" i="4"/>
  <c r="H15" i="4"/>
  <c r="E14" i="4"/>
  <c r="H11" i="4"/>
  <c r="G8" i="4"/>
  <c r="E17" i="4"/>
  <c r="G15" i="4"/>
  <c r="D14" i="4"/>
  <c r="G11" i="4"/>
  <c r="H17" i="4"/>
  <c r="D17" i="4"/>
  <c r="E16" i="4"/>
  <c r="F15" i="4"/>
  <c r="G14" i="4"/>
  <c r="H13" i="4"/>
  <c r="G12" i="4"/>
  <c r="D11" i="4"/>
  <c r="F9" i="4"/>
  <c r="H7" i="4"/>
  <c r="G17" i="4"/>
  <c r="H16" i="4"/>
  <c r="D16" i="4"/>
  <c r="E15" i="4"/>
  <c r="F14" i="4"/>
  <c r="F13" i="4"/>
  <c r="F12" i="4"/>
  <c r="H10" i="4"/>
  <c r="E9" i="4"/>
  <c r="E7" i="4"/>
  <c r="E12" i="4"/>
  <c r="F11" i="4"/>
  <c r="G10" i="4"/>
  <c r="H9" i="4"/>
  <c r="D9" i="4"/>
  <c r="E8" i="4"/>
  <c r="F7" i="4"/>
  <c r="G13" i="4"/>
  <c r="H12" i="4"/>
  <c r="D12" i="4"/>
  <c r="E11" i="4"/>
  <c r="F10" i="4"/>
  <c r="G9" i="4"/>
  <c r="H8" i="4"/>
  <c r="D8" i="4"/>
  <c r="D7" i="4"/>
  <c r="F6" i="4"/>
  <c r="G6" i="4"/>
  <c r="Y13" i="2"/>
  <c r="Y7" i="2"/>
  <c r="E6" i="4"/>
  <c r="C14" i="4"/>
  <c r="C8" i="4"/>
  <c r="C16" i="4"/>
  <c r="Y5" i="2"/>
  <c r="C13" i="4"/>
  <c r="Y11" i="2"/>
  <c r="D6" i="4"/>
  <c r="Y15" i="2"/>
  <c r="Y6" i="2"/>
  <c r="Y10" i="2"/>
  <c r="Y9" i="2"/>
  <c r="C10" i="4"/>
  <c r="Y8" i="2"/>
  <c r="C17" i="4"/>
  <c r="C12" i="4"/>
  <c r="C6" i="4"/>
  <c r="Y14" i="2"/>
  <c r="C15" i="4"/>
  <c r="C11" i="4"/>
  <c r="C7" i="4"/>
  <c r="Y16" i="2"/>
  <c r="Y12" i="2"/>
  <c r="B1" i="1"/>
  <c r="AJ11" i="4"/>
  <c r="BP11" i="4"/>
  <c r="R19" i="4"/>
  <c r="T16" i="4"/>
  <c r="BF15" i="4"/>
  <c r="BF16" i="4" s="1"/>
  <c r="BF17" i="4" s="1"/>
  <c r="BF18" i="4" s="1"/>
  <c r="BF19" i="4" s="1"/>
  <c r="AP15" i="4"/>
  <c r="AP16" i="4" s="1"/>
  <c r="AP17" i="4" s="1"/>
  <c r="AP18" i="4" s="1"/>
  <c r="AP19" i="4" s="1"/>
  <c r="AD15" i="4"/>
  <c r="AD16" i="4" s="1"/>
  <c r="AD17" i="4" s="1"/>
  <c r="AD18" i="4" s="1"/>
  <c r="AD19" i="4" s="1"/>
  <c r="V15" i="4"/>
  <c r="V16" i="4" s="1"/>
  <c r="V17" i="4" s="1"/>
  <c r="V18" i="4" s="1"/>
  <c r="V19" i="4" s="1"/>
  <c r="T10" i="4"/>
  <c r="Z10" i="4"/>
  <c r="AE10" i="4"/>
  <c r="AJ10" i="4"/>
  <c r="AN10" i="4"/>
  <c r="AR10" i="4"/>
  <c r="AV10" i="4"/>
  <c r="AZ10" i="4"/>
  <c r="BD10" i="4"/>
  <c r="BH10" i="4"/>
  <c r="BL10" i="4"/>
  <c r="BP10" i="4"/>
  <c r="R9" i="4"/>
  <c r="V9" i="4"/>
  <c r="Z9" i="4"/>
  <c r="AD9" i="4"/>
  <c r="AH9" i="4"/>
  <c r="AL9" i="4"/>
  <c r="AP9" i="4"/>
  <c r="AT9" i="4"/>
  <c r="AX9" i="4"/>
  <c r="BB9" i="4"/>
  <c r="BF9" i="4"/>
  <c r="BJ9" i="4"/>
  <c r="BN9" i="4"/>
  <c r="BR9" i="4"/>
  <c r="T8" i="4"/>
  <c r="X8" i="4"/>
  <c r="AB8" i="4"/>
  <c r="AF8" i="4"/>
  <c r="AJ8" i="4"/>
  <c r="AN8" i="4"/>
  <c r="AR8" i="4"/>
  <c r="AV8" i="4"/>
  <c r="AZ8" i="4"/>
  <c r="BD8" i="4"/>
  <c r="BH8" i="4"/>
  <c r="BL8" i="4"/>
  <c r="BP8" i="4"/>
  <c r="R7" i="4"/>
  <c r="V7" i="4"/>
  <c r="Z7" i="4"/>
  <c r="AD7" i="4"/>
  <c r="AH7" i="4"/>
  <c r="AL7" i="4"/>
  <c r="AP7" i="4"/>
  <c r="AT7" i="4"/>
  <c r="AX7" i="4"/>
  <c r="BB7" i="4"/>
  <c r="BF7" i="4"/>
  <c r="BJ7" i="4"/>
  <c r="BN7" i="4"/>
  <c r="BR7" i="4"/>
  <c r="T6" i="4"/>
  <c r="X6" i="4"/>
  <c r="AB6" i="4"/>
  <c r="AF6" i="4"/>
  <c r="AJ6" i="4"/>
  <c r="AN6" i="4"/>
  <c r="AR6" i="4"/>
  <c r="AV6" i="4"/>
  <c r="AZ6" i="4"/>
  <c r="BD6" i="4"/>
  <c r="BH6" i="4"/>
  <c r="BL6" i="4"/>
  <c r="BP6" i="4"/>
  <c r="R11" i="4"/>
  <c r="V11" i="4"/>
  <c r="Z11" i="4"/>
  <c r="AD11" i="4"/>
  <c r="AH11" i="4"/>
  <c r="AL11" i="4"/>
  <c r="AP11" i="4"/>
  <c r="AT11" i="4"/>
  <c r="AX11" i="4"/>
  <c r="BB11" i="4"/>
  <c r="BF11" i="4"/>
  <c r="BJ11" i="4"/>
  <c r="BN11" i="4"/>
  <c r="S15" i="4"/>
  <c r="S19" i="4"/>
  <c r="T18" i="4"/>
  <c r="BB15" i="4"/>
  <c r="BB16" i="4" s="1"/>
  <c r="BB17" i="4" s="1"/>
  <c r="BB18" i="4" s="1"/>
  <c r="BB19" i="4" s="1"/>
  <c r="AH15" i="4"/>
  <c r="AH16" i="4" s="1"/>
  <c r="AH17" i="4" s="1"/>
  <c r="AH18" i="4" s="1"/>
  <c r="AH19" i="4" s="1"/>
  <c r="X15" i="4"/>
  <c r="X16" i="4" s="1"/>
  <c r="X17" i="4" s="1"/>
  <c r="X18" i="4" s="1"/>
  <c r="X19" i="4" s="1"/>
  <c r="V10" i="4"/>
  <c r="AB10" i="4"/>
  <c r="AI10" i="4"/>
  <c r="AO10" i="4"/>
  <c r="AT10" i="4"/>
  <c r="AY10" i="4"/>
  <c r="BE10" i="4"/>
  <c r="BJ10" i="4"/>
  <c r="BO10" i="4"/>
  <c r="S9" i="4"/>
  <c r="X9" i="4"/>
  <c r="AC9" i="4"/>
  <c r="AI9" i="4"/>
  <c r="AN9" i="4"/>
  <c r="AS9" i="4"/>
  <c r="AY9" i="4"/>
  <c r="BD9" i="4"/>
  <c r="BI9" i="4"/>
  <c r="BO9" i="4"/>
  <c r="R8" i="4"/>
  <c r="W8" i="4"/>
  <c r="AC8" i="4"/>
  <c r="AH8" i="4"/>
  <c r="AM8" i="4"/>
  <c r="AS8" i="4"/>
  <c r="AX8" i="4"/>
  <c r="BC8" i="4"/>
  <c r="BI8" i="4"/>
  <c r="BN8" i="4"/>
  <c r="W7" i="4"/>
  <c r="AB7" i="4"/>
  <c r="AG7" i="4"/>
  <c r="AM7" i="4"/>
  <c r="AR7" i="4"/>
  <c r="AW7" i="4"/>
  <c r="BC7" i="4"/>
  <c r="BH7" i="4"/>
  <c r="BM7" i="4"/>
  <c r="V6" i="4"/>
  <c r="AA6" i="4"/>
  <c r="AG6" i="4"/>
  <c r="AL6" i="4"/>
  <c r="AQ6" i="4"/>
  <c r="AW6" i="4"/>
  <c r="BB6" i="4"/>
  <c r="BG6" i="4"/>
  <c r="BM6" i="4"/>
  <c r="BR6" i="4"/>
  <c r="U11" i="4"/>
  <c r="AA11" i="4"/>
  <c r="AF11" i="4"/>
  <c r="AK11" i="4"/>
  <c r="AQ11" i="4"/>
  <c r="AV11" i="4"/>
  <c r="BA11" i="4"/>
  <c r="BG11" i="4"/>
  <c r="BL11" i="4"/>
  <c r="BQ11" i="4"/>
  <c r="BR15" i="4"/>
  <c r="BR16" i="4" s="1"/>
  <c r="BR17" i="4" s="1"/>
  <c r="BR18" i="4" s="1"/>
  <c r="BR19" i="4" s="1"/>
  <c r="AX15" i="4"/>
  <c r="AX16" i="4" s="1"/>
  <c r="AX17" i="4" s="1"/>
  <c r="AX18" i="4" s="1"/>
  <c r="AX19" i="4" s="1"/>
  <c r="AF15" i="4"/>
  <c r="AF16" i="4" s="1"/>
  <c r="AF17" i="4" s="1"/>
  <c r="AF18" i="4" s="1"/>
  <c r="AF19" i="4" s="1"/>
  <c r="W10" i="4"/>
  <c r="AD10" i="4"/>
  <c r="AK10" i="4"/>
  <c r="AP10" i="4"/>
  <c r="AU10" i="4"/>
  <c r="BA10" i="4"/>
  <c r="BF10" i="4"/>
  <c r="BK10" i="4"/>
  <c r="BQ10" i="4"/>
  <c r="T9" i="4"/>
  <c r="Y9" i="4"/>
  <c r="AE9" i="4"/>
  <c r="AJ9" i="4"/>
  <c r="AO9" i="4"/>
  <c r="AU9" i="4"/>
  <c r="AZ9" i="4"/>
  <c r="BE9" i="4"/>
  <c r="BK9" i="4"/>
  <c r="BP9" i="4"/>
  <c r="S8" i="4"/>
  <c r="Y8" i="4"/>
  <c r="AD8" i="4"/>
  <c r="AI8" i="4"/>
  <c r="AO8" i="4"/>
  <c r="AT8" i="4"/>
  <c r="AY8" i="4"/>
  <c r="BE8" i="4"/>
  <c r="BJ8" i="4"/>
  <c r="BO8" i="4"/>
  <c r="S7" i="4"/>
  <c r="X7" i="4"/>
  <c r="AC7" i="4"/>
  <c r="AI7" i="4"/>
  <c r="AN7" i="4"/>
  <c r="AS7" i="4"/>
  <c r="AY7" i="4"/>
  <c r="BD7" i="4"/>
  <c r="BI7" i="4"/>
  <c r="BO7" i="4"/>
  <c r="R6" i="4"/>
  <c r="W6" i="4"/>
  <c r="AC6" i="4"/>
  <c r="AH6" i="4"/>
  <c r="AM6" i="4"/>
  <c r="AS6" i="4"/>
  <c r="AX6" i="4"/>
  <c r="BC6" i="4"/>
  <c r="BI6" i="4"/>
  <c r="BN6" i="4"/>
  <c r="W11" i="4"/>
  <c r="AB11" i="4"/>
  <c r="AG11" i="4"/>
  <c r="AM11" i="4"/>
  <c r="AR11" i="4"/>
  <c r="AW11" i="4"/>
  <c r="BC11" i="4"/>
  <c r="BH11" i="4"/>
  <c r="BM11" i="4"/>
  <c r="BR11" i="4"/>
  <c r="BN15" i="4"/>
  <c r="BN16" i="4" s="1"/>
  <c r="BN17" i="4" s="1"/>
  <c r="BN18" i="4" s="1"/>
  <c r="BN19" i="4" s="1"/>
  <c r="AT15" i="4"/>
  <c r="AT16" i="4" s="1"/>
  <c r="AT17" i="4" s="1"/>
  <c r="AT18" i="4" s="1"/>
  <c r="AT19" i="4" s="1"/>
  <c r="AB15" i="4"/>
  <c r="AB16" i="4" s="1"/>
  <c r="AB17" i="4" s="1"/>
  <c r="AB18" i="4" s="1"/>
  <c r="AB19" i="4" s="1"/>
  <c r="R10" i="4"/>
  <c r="X10" i="4"/>
  <c r="AF10" i="4"/>
  <c r="AL10" i="4"/>
  <c r="AQ10" i="4"/>
  <c r="AW10" i="4"/>
  <c r="BB10" i="4"/>
  <c r="BG10" i="4"/>
  <c r="BM10" i="4"/>
  <c r="BR10" i="4"/>
  <c r="U9" i="4"/>
  <c r="AA9" i="4"/>
  <c r="AF9" i="4"/>
  <c r="AK9" i="4"/>
  <c r="AQ9" i="4"/>
  <c r="AV9" i="4"/>
  <c r="BA9" i="4"/>
  <c r="BG9" i="4"/>
  <c r="BL9" i="4"/>
  <c r="BQ9" i="4"/>
  <c r="U8" i="4"/>
  <c r="Z8" i="4"/>
  <c r="AE8" i="4"/>
  <c r="AK8" i="4"/>
  <c r="AP8" i="4"/>
  <c r="AU8" i="4"/>
  <c r="BA8" i="4"/>
  <c r="BF8" i="4"/>
  <c r="BK8" i="4"/>
  <c r="BQ8" i="4"/>
  <c r="T7" i="4"/>
  <c r="Y7" i="4"/>
  <c r="AE7" i="4"/>
  <c r="AJ7" i="4"/>
  <c r="AO7" i="4"/>
  <c r="AU7" i="4"/>
  <c r="AZ7" i="4"/>
  <c r="BE7" i="4"/>
  <c r="BK7" i="4"/>
  <c r="BP7" i="4"/>
  <c r="S6" i="4"/>
  <c r="Y6" i="4"/>
  <c r="AD6" i="4"/>
  <c r="BD11" i="4"/>
  <c r="AS11" i="4"/>
  <c r="BQ6" i="4"/>
  <c r="AU6" i="4"/>
  <c r="AK6" i="4"/>
  <c r="AK7" i="4"/>
  <c r="AG8" i="4"/>
  <c r="AR9" i="4"/>
  <c r="BC10" i="4"/>
  <c r="Z15" i="4"/>
  <c r="Z16" i="4" s="1"/>
  <c r="Z17" i="4" s="1"/>
  <c r="Z18" i="4" s="1"/>
  <c r="Z19" i="4" s="1"/>
  <c r="AO11" i="4"/>
  <c r="BE11" i="4"/>
  <c r="AU11" i="4"/>
  <c r="Y11" i="4"/>
  <c r="BJ6" i="4"/>
  <c r="AY6" i="4"/>
  <c r="AO6" i="4"/>
  <c r="Z6" i="4"/>
  <c r="BL7" i="4"/>
  <c r="AQ7" i="4"/>
  <c r="U7" i="4"/>
  <c r="BG8" i="4"/>
  <c r="AL8" i="4"/>
  <c r="AW9" i="4"/>
  <c r="AB9" i="4"/>
  <c r="BI10" i="4"/>
  <c r="AM10" i="4"/>
  <c r="BO11" i="4"/>
  <c r="AI11" i="4"/>
  <c r="X11" i="4"/>
  <c r="BF6" i="4"/>
  <c r="U6" i="4"/>
  <c r="BG7" i="4"/>
  <c r="BB8" i="4"/>
  <c r="BM9" i="4"/>
  <c r="W9" i="4"/>
  <c r="AH10" i="4"/>
  <c r="BK11" i="4"/>
  <c r="AZ11" i="4"/>
  <c r="AE11" i="4"/>
  <c r="T11" i="4"/>
  <c r="BO6" i="4"/>
  <c r="BE6" i="4"/>
  <c r="AT6" i="4"/>
  <c r="AI6" i="4"/>
  <c r="BA7" i="4"/>
  <c r="AF7" i="4"/>
  <c r="BR8" i="4"/>
  <c r="AW8" i="4"/>
  <c r="AA8" i="4"/>
  <c r="BH9" i="4"/>
  <c r="AM9" i="4"/>
  <c r="AX10" i="4"/>
  <c r="AA10" i="4"/>
  <c r="AL15" i="4"/>
  <c r="AL16" i="4" s="1"/>
  <c r="AL17" i="4" s="1"/>
  <c r="AL18" i="4" s="1"/>
  <c r="AL19" i="4" s="1"/>
  <c r="BI11" i="4"/>
  <c r="AY11" i="4"/>
  <c r="AN11" i="4"/>
  <c r="AC11" i="4"/>
  <c r="S11" i="4"/>
  <c r="BK6" i="4"/>
  <c r="BA6" i="4"/>
  <c r="AP6" i="4"/>
  <c r="AE6" i="4"/>
  <c r="BQ7" i="4"/>
  <c r="AV7" i="4"/>
  <c r="AA7" i="4"/>
  <c r="BM8" i="4"/>
  <c r="AQ8" i="4"/>
  <c r="V8" i="4"/>
  <c r="BC9" i="4"/>
  <c r="AG9" i="4"/>
  <c r="BN10" i="4"/>
  <c r="AS10" i="4"/>
  <c r="S10" i="4"/>
  <c r="BJ15" i="4"/>
  <c r="BJ16" i="4" s="1"/>
  <c r="BJ17" i="4" s="1"/>
  <c r="BJ18" i="4" s="1"/>
  <c r="BJ19" i="4" s="1"/>
  <c r="R18" i="4"/>
  <c r="AG10" i="4"/>
  <c r="AC10" i="4"/>
  <c r="Y10" i="4"/>
  <c r="U10" i="4"/>
  <c r="W15" i="4"/>
  <c r="W16" i="4" s="1"/>
  <c r="W17" i="4" s="1"/>
  <c r="W18" i="4" s="1"/>
  <c r="W19" i="4" s="1"/>
  <c r="AA15" i="4"/>
  <c r="AA16" i="4" s="1"/>
  <c r="AA17" i="4" s="1"/>
  <c r="AA18" i="4" s="1"/>
  <c r="AA19" i="4" s="1"/>
  <c r="AE15" i="4"/>
  <c r="AE16" i="4" s="1"/>
  <c r="AE17" i="4" s="1"/>
  <c r="AE18" i="4" s="1"/>
  <c r="AE19" i="4" s="1"/>
  <c r="AI15" i="4"/>
  <c r="AI16" i="4" s="1"/>
  <c r="AI17" i="4" s="1"/>
  <c r="AI18" i="4" s="1"/>
  <c r="AI19" i="4" s="1"/>
  <c r="AM15" i="4"/>
  <c r="AM16" i="4" s="1"/>
  <c r="AM17" i="4" s="1"/>
  <c r="AM18" i="4" s="1"/>
  <c r="AM19" i="4" s="1"/>
  <c r="AQ15" i="4"/>
  <c r="AQ16" i="4" s="1"/>
  <c r="AQ17" i="4" s="1"/>
  <c r="AQ18" i="4" s="1"/>
  <c r="AQ19" i="4" s="1"/>
  <c r="AU15" i="4"/>
  <c r="AU16" i="4" s="1"/>
  <c r="AU17" i="4" s="1"/>
  <c r="AU18" i="4" s="1"/>
  <c r="AU19" i="4" s="1"/>
  <c r="AY15" i="4"/>
  <c r="AY16" i="4" s="1"/>
  <c r="AY17" i="4" s="1"/>
  <c r="AY18" i="4" s="1"/>
  <c r="AY19" i="4" s="1"/>
  <c r="BC15" i="4"/>
  <c r="BC16" i="4" s="1"/>
  <c r="BC17" i="4" s="1"/>
  <c r="BC18" i="4" s="1"/>
  <c r="BC19" i="4" s="1"/>
  <c r="BG15" i="4"/>
  <c r="BG16" i="4" s="1"/>
  <c r="BG17" i="4" s="1"/>
  <c r="BG18" i="4" s="1"/>
  <c r="BG19" i="4" s="1"/>
  <c r="BK15" i="4"/>
  <c r="BK16" i="4" s="1"/>
  <c r="BK17" i="4" s="1"/>
  <c r="BK18" i="4" s="1"/>
  <c r="BK19" i="4" s="1"/>
  <c r="BO15" i="4"/>
  <c r="BO16" i="4" s="1"/>
  <c r="BO17" i="4" s="1"/>
  <c r="BO18" i="4" s="1"/>
  <c r="BO19" i="4" s="1"/>
  <c r="R15" i="4"/>
  <c r="U16" i="4"/>
  <c r="U18" i="4"/>
  <c r="S18" i="4"/>
  <c r="R16" i="4"/>
  <c r="AJ15" i="4"/>
  <c r="AJ16" i="4" s="1"/>
  <c r="AJ17" i="4" s="1"/>
  <c r="AJ18" i="4" s="1"/>
  <c r="AJ19" i="4" s="1"/>
  <c r="AN15" i="4"/>
  <c r="AN16" i="4" s="1"/>
  <c r="AN17" i="4" s="1"/>
  <c r="AN18" i="4" s="1"/>
  <c r="AN19" i="4" s="1"/>
  <c r="AR15" i="4"/>
  <c r="AR16" i="4" s="1"/>
  <c r="AR17" i="4" s="1"/>
  <c r="AR18" i="4" s="1"/>
  <c r="AR19" i="4" s="1"/>
  <c r="AV15" i="4"/>
  <c r="AV16" i="4" s="1"/>
  <c r="AV17" i="4" s="1"/>
  <c r="AV18" i="4" s="1"/>
  <c r="AV19" i="4" s="1"/>
  <c r="AZ15" i="4"/>
  <c r="AZ16" i="4" s="1"/>
  <c r="AZ17" i="4" s="1"/>
  <c r="AZ18" i="4" s="1"/>
  <c r="AZ19" i="4" s="1"/>
  <c r="BD15" i="4"/>
  <c r="BD16" i="4" s="1"/>
  <c r="BD17" i="4" s="1"/>
  <c r="BD18" i="4" s="1"/>
  <c r="BD19" i="4" s="1"/>
  <c r="BH15" i="4"/>
  <c r="BH16" i="4" s="1"/>
  <c r="BH17" i="4" s="1"/>
  <c r="BH18" i="4" s="1"/>
  <c r="BH19" i="4" s="1"/>
  <c r="BL15" i="4"/>
  <c r="BL16" i="4" s="1"/>
  <c r="BL17" i="4" s="1"/>
  <c r="BL18" i="4" s="1"/>
  <c r="BL19" i="4" s="1"/>
  <c r="BP15" i="4"/>
  <c r="BP16" i="4" s="1"/>
  <c r="BP17" i="4" s="1"/>
  <c r="BP18" i="4" s="1"/>
  <c r="BP19" i="4" s="1"/>
  <c r="T15" i="4"/>
  <c r="T17" i="4"/>
  <c r="T19" i="4"/>
  <c r="S17" i="4"/>
  <c r="R17" i="4"/>
  <c r="Y15" i="4"/>
  <c r="Y16" i="4" s="1"/>
  <c r="Y17" i="4" s="1"/>
  <c r="Y18" i="4" s="1"/>
  <c r="Y19" i="4" s="1"/>
  <c r="AC15" i="4"/>
  <c r="AC16" i="4" s="1"/>
  <c r="AC17" i="4" s="1"/>
  <c r="AC18" i="4" s="1"/>
  <c r="AC19" i="4" s="1"/>
  <c r="AG15" i="4"/>
  <c r="AG16" i="4" s="1"/>
  <c r="AG17" i="4" s="1"/>
  <c r="AG18" i="4" s="1"/>
  <c r="AG19" i="4" s="1"/>
  <c r="AK15" i="4"/>
  <c r="AK16" i="4" s="1"/>
  <c r="AK17" i="4" s="1"/>
  <c r="AK18" i="4" s="1"/>
  <c r="AK19" i="4" s="1"/>
  <c r="AO15" i="4"/>
  <c r="AO16" i="4" s="1"/>
  <c r="AO17" i="4" s="1"/>
  <c r="AO18" i="4" s="1"/>
  <c r="AO19" i="4" s="1"/>
  <c r="AS15" i="4"/>
  <c r="AS16" i="4" s="1"/>
  <c r="AS17" i="4" s="1"/>
  <c r="AS18" i="4" s="1"/>
  <c r="AS19" i="4" s="1"/>
  <c r="AW15" i="4"/>
  <c r="AW16" i="4" s="1"/>
  <c r="AW17" i="4" s="1"/>
  <c r="AW18" i="4" s="1"/>
  <c r="AW19" i="4" s="1"/>
  <c r="BA15" i="4"/>
  <c r="BA16" i="4" s="1"/>
  <c r="BA17" i="4" s="1"/>
  <c r="BA18" i="4" s="1"/>
  <c r="BA19" i="4" s="1"/>
  <c r="BE15" i="4"/>
  <c r="BE16" i="4" s="1"/>
  <c r="BE17" i="4" s="1"/>
  <c r="BE18" i="4" s="1"/>
  <c r="BE19" i="4" s="1"/>
  <c r="BI15" i="4"/>
  <c r="BI16" i="4" s="1"/>
  <c r="BI17" i="4" s="1"/>
  <c r="BI18" i="4" s="1"/>
  <c r="BI19" i="4" s="1"/>
  <c r="BM15" i="4"/>
  <c r="BM16" i="4" s="1"/>
  <c r="BM17" i="4" s="1"/>
  <c r="BM18" i="4" s="1"/>
  <c r="BM19" i="4" s="1"/>
  <c r="BQ15" i="4"/>
  <c r="BQ16" i="4" s="1"/>
  <c r="BQ17" i="4" s="1"/>
  <c r="BQ18" i="4" s="1"/>
  <c r="BQ19" i="4" s="1"/>
  <c r="U15" i="4"/>
  <c r="U17" i="4"/>
  <c r="U19" i="4"/>
  <c r="S16" i="4"/>
  <c r="F18" i="4" l="1"/>
  <c r="H18" i="4"/>
  <c r="G18" i="4"/>
  <c r="E18" i="4"/>
  <c r="D18" i="4"/>
  <c r="C18" i="4"/>
  <c r="C22" i="4" s="1"/>
  <c r="Y17" i="2"/>
  <c r="Q11" i="4"/>
  <c r="Q7" i="4"/>
  <c r="Q6" i="4"/>
  <c r="Q9" i="4"/>
  <c r="Q8" i="4"/>
  <c r="Q10" i="4"/>
  <c r="Q19" i="4"/>
  <c r="Q18" i="4"/>
  <c r="Q17" i="4"/>
  <c r="Q16" i="4"/>
  <c r="Q15" i="4"/>
  <c r="C20" i="4" l="1"/>
</calcChain>
</file>

<file path=xl/sharedStrings.xml><?xml version="1.0" encoding="utf-8"?>
<sst xmlns="http://schemas.openxmlformats.org/spreadsheetml/2006/main" count="474" uniqueCount="209">
  <si>
    <t>Dato</t>
  </si>
  <si>
    <t>Ugedag</t>
  </si>
  <si>
    <t>Type</t>
  </si>
  <si>
    <t>Distance</t>
  </si>
  <si>
    <t>Gns.puls</t>
  </si>
  <si>
    <t>Sko</t>
  </si>
  <si>
    <t>T</t>
  </si>
  <si>
    <t>M</t>
  </si>
  <si>
    <t>S</t>
  </si>
  <si>
    <t>Konkurrence</t>
  </si>
  <si>
    <t>K</t>
  </si>
  <si>
    <t>Intervaller</t>
  </si>
  <si>
    <t>I</t>
  </si>
  <si>
    <t>Recovery</t>
  </si>
  <si>
    <t>R</t>
  </si>
  <si>
    <t>D</t>
  </si>
  <si>
    <t>Januar</t>
  </si>
  <si>
    <t>Februar</t>
  </si>
  <si>
    <t>Marts</t>
  </si>
  <si>
    <t>April</t>
  </si>
  <si>
    <t>Maj</t>
  </si>
  <si>
    <t>Juni</t>
  </si>
  <si>
    <t>Juli</t>
  </si>
  <si>
    <t>August</t>
  </si>
  <si>
    <t>September</t>
  </si>
  <si>
    <t>Oktober</t>
  </si>
  <si>
    <t>November</t>
  </si>
  <si>
    <t>December</t>
  </si>
  <si>
    <t>Måned</t>
  </si>
  <si>
    <t>Total</t>
  </si>
  <si>
    <t>Start KM</t>
  </si>
  <si>
    <t>Løb</t>
  </si>
  <si>
    <t>KSWISS</t>
  </si>
  <si>
    <t>Beskrivelse</t>
  </si>
  <si>
    <t>K-Swiss</t>
  </si>
  <si>
    <t>Hoka</t>
  </si>
  <si>
    <t>Kode</t>
  </si>
  <si>
    <t>Mdr.</t>
  </si>
  <si>
    <t>Fordeling</t>
  </si>
  <si>
    <t>Tempo</t>
  </si>
  <si>
    <t>Target</t>
  </si>
  <si>
    <t>Mangler</t>
  </si>
  <si>
    <t>Procent</t>
  </si>
  <si>
    <t>Egen tur</t>
  </si>
  <si>
    <t>SC</t>
  </si>
  <si>
    <t>Salomon SpeedCross</t>
  </si>
  <si>
    <t>Uge</t>
  </si>
  <si>
    <t>År</t>
  </si>
  <si>
    <t xml:space="preserve">Stacked </t>
  </si>
  <si>
    <t>Dummy</t>
  </si>
  <si>
    <t>XX_Dummy</t>
  </si>
  <si>
    <t>Marathon Running Log</t>
  </si>
  <si>
    <t>Time</t>
  </si>
  <si>
    <t>Rudersdal Marathon</t>
  </si>
  <si>
    <t>Copenhagen Marathon</t>
  </si>
  <si>
    <t>New York Marathon</t>
  </si>
  <si>
    <t>Stockholm Jubilee Marathon</t>
  </si>
  <si>
    <t>Paris Marathon</t>
  </si>
  <si>
    <t>Skt. Petersborg Marathon (Fartholdertur)</t>
  </si>
  <si>
    <t>Nummer</t>
  </si>
  <si>
    <t>Hastighed</t>
  </si>
  <si>
    <t>Marathon</t>
  </si>
  <si>
    <t>Liverpool Marathon (Fartholdertur)</t>
  </si>
  <si>
    <t>Km-tid</t>
  </si>
  <si>
    <t>A</t>
  </si>
  <si>
    <t xml:space="preserve">B </t>
  </si>
  <si>
    <t>C</t>
  </si>
  <si>
    <t>Max værdi</t>
  </si>
  <si>
    <t>1. Km</t>
  </si>
  <si>
    <t>2. Km</t>
  </si>
  <si>
    <t>3. Km</t>
  </si>
  <si>
    <t>4. Km</t>
  </si>
  <si>
    <t>5. Km</t>
  </si>
  <si>
    <t>Alder</t>
  </si>
  <si>
    <t>Target puls</t>
  </si>
  <si>
    <t/>
  </si>
  <si>
    <t>Løb så 5 km og tjek tiden for hver km</t>
  </si>
  <si>
    <t>Alle træninger skal være lige omkring target</t>
  </si>
  <si>
    <t>60-80 km om ugen</t>
  </si>
  <si>
    <t>Lav test hver 4 uge</t>
  </si>
  <si>
    <t>Alternativ targetpuls</t>
  </si>
  <si>
    <t>Max puls</t>
  </si>
  <si>
    <t>basistal</t>
  </si>
  <si>
    <t>http://www.teampuls.dk/index.php?id=66</t>
  </si>
  <si>
    <t>MAF - skulle vist være omkring 65 procent</t>
  </si>
  <si>
    <t>Min puls</t>
  </si>
  <si>
    <t>Puls %</t>
  </si>
  <si>
    <t>Arbejdspuls</t>
  </si>
  <si>
    <t xml:space="preserve">Puls </t>
  </si>
  <si>
    <t>Berlin Marathon 2016</t>
  </si>
  <si>
    <t>Berlin Marathon 2009</t>
  </si>
  <si>
    <t>Berlin Marathon 2013</t>
  </si>
  <si>
    <t>Berlin Marathon 2015</t>
  </si>
  <si>
    <t>Kanonkugle Marathon - Lise Friis #100</t>
  </si>
  <si>
    <t>Sydkystløbet Marathon 2016</t>
  </si>
  <si>
    <t>Midt i Sorø Marathon 2016</t>
  </si>
  <si>
    <t>Tórshavn Marathon  2016</t>
  </si>
  <si>
    <t>Planlagt</t>
  </si>
  <si>
    <t>Totaler</t>
  </si>
  <si>
    <t>Låge</t>
  </si>
  <si>
    <t>Brugt</t>
  </si>
  <si>
    <t>Humør Marathon #29</t>
  </si>
  <si>
    <t>Humør Marathon #30</t>
  </si>
  <si>
    <t>HOKA</t>
  </si>
  <si>
    <t>Kanonkugle Marathon - Aftenløb</t>
  </si>
  <si>
    <t>Midt i Sorø Marathon 2017</t>
  </si>
  <si>
    <t>Løve Mølle Marathon - Påskeløb</t>
  </si>
  <si>
    <t>3600 Marathon</t>
  </si>
  <si>
    <t>Stockholm Marathon</t>
  </si>
  <si>
    <t xml:space="preserve">Kanonkugle Marathon </t>
  </si>
  <si>
    <t>Toppen af Nokken</t>
  </si>
  <si>
    <t>Kalundborg Marathon</t>
  </si>
  <si>
    <t>Humør Marathon, Lise Friis #200</t>
  </si>
  <si>
    <t>Humør Marathon, Oles #100</t>
  </si>
  <si>
    <t>Skinnermarathon</t>
  </si>
  <si>
    <t>Success Marathon</t>
  </si>
  <si>
    <t>NPRB</t>
  </si>
  <si>
    <t>Nike Pegasus Rød/Blå</t>
  </si>
  <si>
    <t>Fanoe Marathon</t>
  </si>
  <si>
    <t>Berlin Marathon 2017</t>
  </si>
  <si>
    <t>AUBB</t>
  </si>
  <si>
    <t>Adidas Ultra Boost Blå</t>
  </si>
  <si>
    <t>Ø-Marathon Amager</t>
  </si>
  <si>
    <t>Hvalsø Marathon</t>
  </si>
  <si>
    <t>Kanonkugle Marathon</t>
  </si>
  <si>
    <t>Marathon i Hareskoven (med CC og Hopla)</t>
  </si>
  <si>
    <t>Kirke Hylling Marathon</t>
  </si>
  <si>
    <t>Humør Marathon Ringsted</t>
  </si>
  <si>
    <t>Sparta fællestræning</t>
  </si>
  <si>
    <t>Marathon #51 - Marathon Popup</t>
  </si>
  <si>
    <t xml:space="preserve">Diplom </t>
  </si>
  <si>
    <t>Marathon Pop-up</t>
  </si>
  <si>
    <t>Marathon #52 - Løve Mølle Marathon</t>
  </si>
  <si>
    <t>Spata Testløb</t>
  </si>
  <si>
    <t>Marathon #53 - Kanonkugle Marathon</t>
  </si>
  <si>
    <t>Nike Pegasus Sort-Gul</t>
  </si>
  <si>
    <t>NPSG</t>
  </si>
  <si>
    <t>Marathon #55 - Humør Marathon</t>
  </si>
  <si>
    <t>Nike Test 15 km</t>
  </si>
  <si>
    <t>Marathon #56 - Kanonkugle Marathon - Aften</t>
  </si>
  <si>
    <t>Marathon #54 - Kanonkugle Marathon - Aften</t>
  </si>
  <si>
    <t>Nike Test 25 km - forkortede turen</t>
  </si>
  <si>
    <t>Marathon #57 - Gaasetaarns Marathon, Vordingborg</t>
  </si>
  <si>
    <t>Marathon #58 - Kanonkugle Marathon - Morgen</t>
  </si>
  <si>
    <t>Sparta - Test 4 - Halvmarathon</t>
  </si>
  <si>
    <t>Marathon #59 - Hoka One One Damhus Marathon</t>
  </si>
  <si>
    <t>Marathon #60 - Kanonkugle marathon - Morgen</t>
  </si>
  <si>
    <t>Sparta - Hold 6:00 løbetræning + middag bagefter på Cafe Kapers</t>
  </si>
  <si>
    <t xml:space="preserve">Egen tur </t>
  </si>
  <si>
    <t>Sparta Pacesetter Copenhagen Marathon 2018</t>
  </si>
  <si>
    <t>Egen Tur - Portugal</t>
  </si>
  <si>
    <t>Marathon #62 - Marathon i Slagelse (I 29 grader)</t>
  </si>
  <si>
    <t>Marathon #64 - Flådeegene Marathon (med Hopla, CC, Mai-britt + mere)</t>
  </si>
  <si>
    <t>Marathon #65 - Hvalsø Marathon (Klokken 6.00)</t>
  </si>
  <si>
    <t>Løbetur med Misse</t>
  </si>
  <si>
    <t>Marathon #66 - Marathon Popup - Vallensbæk (noget af vejen med Henning)</t>
  </si>
  <si>
    <t>Marathon #63 - Kanonkugle Marathon - Morgen - med CC og Hanne som måtte stoppe på halv)</t>
  </si>
  <si>
    <t>Marathon #67 - Kalundborg TrippleMarathon - Søndag</t>
  </si>
  <si>
    <t>Marathon #61 - Marathon Popup - Vestskoven (Susan+Peter - Løbe 2 km + Gå 1 km)</t>
  </si>
  <si>
    <t>2 km opvarmning + 3 x 3 (30-20-10) + 1 km afjog</t>
  </si>
  <si>
    <t>Marathon #68 - Skinnermaraton - Blå medalje</t>
  </si>
  <si>
    <t>Marathon #69 - Skinnermaraton - Gul medalje (Med Hoplarik)</t>
  </si>
  <si>
    <t>Marathon Popup</t>
  </si>
  <si>
    <t>Løve Mølle Marathon</t>
  </si>
  <si>
    <t>Kanonkugle Marathon - Aften</t>
  </si>
  <si>
    <t>Humør Marathon</t>
  </si>
  <si>
    <t>Gaasetaarns Marathon, Vordingborg</t>
  </si>
  <si>
    <t>Kanonkugle Marathon - Morgen</t>
  </si>
  <si>
    <t>Hoka One One Damhus Marathon</t>
  </si>
  <si>
    <t>Kanonkugle marathon - Morgen</t>
  </si>
  <si>
    <t>Hvalsø Marathon (Klokken 6.00)</t>
  </si>
  <si>
    <t>Marathon Popup - Vestskoven</t>
  </si>
  <si>
    <t>Flådeegene Marathon (med Hopla, CC)</t>
  </si>
  <si>
    <t>Marathon Popup - Vallensbæk</t>
  </si>
  <si>
    <t>Kalundborg Tripple Marathon</t>
  </si>
  <si>
    <t>Skinnermaraton</t>
  </si>
  <si>
    <t>Løbetur i Thailand</t>
  </si>
  <si>
    <t>Løbebånd i Thailand</t>
  </si>
  <si>
    <t>Marathon #71 - Humør Marathon - Ringsted</t>
  </si>
  <si>
    <t>Marathon #70 - Skinnermaraton - Orange medalje - meget, meget varmt</t>
  </si>
  <si>
    <t>Marathon #72 - Skinnermaraton</t>
  </si>
  <si>
    <t xml:space="preserve">Hos Skinnermarathon - DNF </t>
  </si>
  <si>
    <t>Marathon #74 - Skinnermaraton - Orangestribet medalje med hvid snor</t>
  </si>
  <si>
    <t>Humør Marathon - Varmeste marathon ever</t>
  </si>
  <si>
    <t>Kanonkuglemarathon</t>
  </si>
  <si>
    <t xml:space="preserve">Egen tur - Pokemon </t>
  </si>
  <si>
    <t>Copenhagen Half - Fællestræning + se KMD Ironman Copenhagen</t>
  </si>
  <si>
    <t>Marathon #75 - Kanonkugle Marathon - Morgen - Meget varmt</t>
  </si>
  <si>
    <t>Marathon #76 - Marathon Popup - Vallensbæk</t>
  </si>
  <si>
    <t>Marathon #73 - Kanonkugle marathon - Morgen - Med CC og Henning (Gik med H de sidste 5)</t>
  </si>
  <si>
    <t>NPBR</t>
  </si>
  <si>
    <t>Nike Pegasus Blå/Rød</t>
  </si>
  <si>
    <t xml:space="preserve">Marathon #77 - Knutenborg Safaripark  Marathon </t>
  </si>
  <si>
    <t>Egen tur -regn regn regn</t>
  </si>
  <si>
    <t>Copenhagen Half 2018</t>
  </si>
  <si>
    <t>Marathon #78 - Toppen af Nokken (på Toilettet I nærheden)</t>
  </si>
  <si>
    <t>Marathon #79 - Sjælsø Marathon (samlede flag sammen)</t>
  </si>
  <si>
    <t>Marathon #80 - Skagen Marathon</t>
  </si>
  <si>
    <t>Chip</t>
  </si>
  <si>
    <t>Ja</t>
  </si>
  <si>
    <t>Kanonkugle Marathon - Morgen - Meget varmt</t>
  </si>
  <si>
    <t>Knutenborg Safaripark  Marathon</t>
  </si>
  <si>
    <t>Skagen Marathon</t>
  </si>
  <si>
    <t>% af total</t>
  </si>
  <si>
    <t>Årstal</t>
  </si>
  <si>
    <t>Antal Marathon</t>
  </si>
  <si>
    <t>Marathon i Slagelse</t>
  </si>
  <si>
    <t>Skinnermaraton (Med Hopla)</t>
  </si>
  <si>
    <t>Sjælsø Marathon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</si>
</sst>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0.0"/>
    <numFmt numFmtId="166" formatCode="0;\-0;;@"/>
    <numFmt numFmtId="167" formatCode="m:ss"/>
    <numFmt numFmtId="168" formatCode="0.0%"/>
    <numFmt numFmtId="169" formatCode="dd/mm/yy;@"/>
  </numFmts>
  <fonts count="27" x14ac:knownFonts="1">
    <font>
      <sz val="12"/>
      <color theme="1"/>
      <name val="Calibri"/>
      <family val="2"/>
      <scheme val="minor"/>
    </font>
    <font>
      <b/>
      <sz val="12"/>
      <color theme="1"/>
      <name val="Calibri"/>
      <family val="2"/>
      <scheme val="minor"/>
    </font>
    <font>
      <sz val="8"/>
      <color theme="6"/>
      <name val="Calibri"/>
      <family val="2"/>
      <scheme val="minor"/>
    </font>
    <font>
      <b/>
      <sz val="12"/>
      <color theme="0"/>
      <name val="Calibri"/>
      <family val="2"/>
      <scheme val="minor"/>
    </font>
    <font>
      <b/>
      <sz val="14"/>
      <color theme="1"/>
      <name val="Calibri"/>
      <family val="2"/>
      <scheme val="minor"/>
    </font>
    <font>
      <sz val="14"/>
      <color theme="1"/>
      <name val="Calibri"/>
      <family val="2"/>
      <scheme val="minor"/>
    </font>
    <font>
      <sz val="12"/>
      <color theme="1" tint="0.249977111117893"/>
      <name val="Calibri"/>
      <family val="2"/>
      <scheme val="minor"/>
    </font>
    <font>
      <u/>
      <sz val="12"/>
      <color theme="10"/>
      <name val="Calibri"/>
      <family val="2"/>
      <scheme val="minor"/>
    </font>
    <font>
      <u/>
      <sz val="12"/>
      <color theme="11"/>
      <name val="Calibri"/>
      <family val="2"/>
      <scheme val="minor"/>
    </font>
    <font>
      <sz val="10"/>
      <name val="Times New Roman"/>
      <family val="1"/>
    </font>
    <font>
      <b/>
      <sz val="11"/>
      <name val="Arial"/>
      <family val="2"/>
    </font>
    <font>
      <b/>
      <sz val="18"/>
      <name val="Arial"/>
      <family val="2"/>
    </font>
    <font>
      <sz val="12"/>
      <name val="Calibri"/>
      <family val="2"/>
      <scheme val="minor"/>
    </font>
    <font>
      <sz val="10"/>
      <name val="Arial"/>
      <family val="2"/>
    </font>
    <font>
      <b/>
      <sz val="14"/>
      <color theme="0"/>
      <name val="Calibri"/>
      <family val="2"/>
      <scheme val="minor"/>
    </font>
    <font>
      <b/>
      <sz val="11"/>
      <color theme="0"/>
      <name val="Calibri"/>
      <family val="2"/>
      <scheme val="minor"/>
    </font>
    <font>
      <sz val="11"/>
      <name val="Calibri"/>
      <family val="2"/>
      <scheme val="minor"/>
    </font>
    <font>
      <sz val="11"/>
      <color theme="4"/>
      <name val="Calibri"/>
      <family val="2"/>
      <scheme val="minor"/>
    </font>
    <font>
      <sz val="11"/>
      <color theme="5"/>
      <name val="Calibri"/>
      <family val="2"/>
      <scheme val="minor"/>
    </font>
    <font>
      <sz val="11"/>
      <color theme="6"/>
      <name val="Calibri"/>
      <family val="2"/>
      <scheme val="minor"/>
    </font>
    <font>
      <sz val="11"/>
      <color theme="7"/>
      <name val="Calibri"/>
      <family val="2"/>
      <scheme val="minor"/>
    </font>
    <font>
      <sz val="8"/>
      <name val="Calibri"/>
      <family val="2"/>
      <scheme val="minor"/>
    </font>
    <font>
      <sz val="8"/>
      <color theme="0"/>
      <name val="Calibri"/>
      <family val="2"/>
      <scheme val="minor"/>
    </font>
    <font>
      <sz val="11"/>
      <color theme="0"/>
      <name val="Calibri"/>
      <family val="2"/>
      <scheme val="minor"/>
    </font>
    <font>
      <b/>
      <sz val="40"/>
      <color theme="1"/>
      <name val="Calibri"/>
      <family val="2"/>
      <scheme val="minor"/>
    </font>
    <font>
      <b/>
      <sz val="38"/>
      <color theme="1"/>
      <name val="Calibri"/>
      <family val="2"/>
      <scheme val="minor"/>
    </font>
    <font>
      <b/>
      <sz val="16"/>
      <color theme="1"/>
      <name val="Calibri"/>
      <family val="2"/>
      <scheme val="minor"/>
    </font>
  </fonts>
  <fills count="1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bgColor theme="4"/>
      </patternFill>
    </fill>
    <fill>
      <patternFill patternType="solid">
        <fgColor theme="9" tint="0.39997558519241921"/>
        <bgColor indexed="64"/>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theme="5" tint="0.39997558519241921"/>
        <bgColor indexed="64"/>
      </patternFill>
    </fill>
  </fills>
  <borders count="68">
    <border>
      <left/>
      <right/>
      <top/>
      <bottom/>
      <diagonal/>
    </border>
    <border>
      <left style="thin">
        <color theme="0" tint="-0.14996795556505021"/>
      </left>
      <right style="thin">
        <color theme="0" tint="-0.14996795556505021"/>
      </right>
      <top style="thin">
        <color theme="0" tint="-0.14996795556505021"/>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right/>
      <top/>
      <bottom style="thin">
        <color theme="4"/>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right/>
      <top style="medium">
        <color auto="1"/>
      </top>
      <bottom style="medium">
        <color auto="1"/>
      </bottom>
      <diagonal/>
    </border>
    <border>
      <left style="thin">
        <color auto="1"/>
      </left>
      <right style="thin">
        <color theme="0"/>
      </right>
      <top style="thin">
        <color theme="0"/>
      </top>
      <bottom style="thin">
        <color auto="1"/>
      </bottom>
      <diagonal/>
    </border>
    <border>
      <left style="thin">
        <color auto="1"/>
      </left>
      <right style="thin">
        <color theme="0"/>
      </right>
      <top style="thin">
        <color auto="1"/>
      </top>
      <bottom style="thin">
        <color theme="0"/>
      </bottom>
      <diagonal/>
    </border>
    <border>
      <left style="thin">
        <color auto="1"/>
      </left>
      <right style="thin">
        <color theme="0"/>
      </right>
      <top style="thin">
        <color theme="0"/>
      </top>
      <bottom style="thin">
        <color theme="0"/>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right/>
      <top/>
      <bottom style="thin">
        <color auto="1"/>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theme="0"/>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left style="thin">
        <color theme="0"/>
      </left>
      <right style="thin">
        <color theme="0"/>
      </right>
      <top style="thin">
        <color theme="0"/>
      </top>
      <bottom style="thin">
        <color auto="1"/>
      </bottom>
      <diagonal/>
    </border>
    <border>
      <left style="thin">
        <color theme="0"/>
      </left>
      <right style="thin">
        <color auto="1"/>
      </right>
      <top style="thin">
        <color theme="0"/>
      </top>
      <bottom style="thin">
        <color auto="1"/>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style="medium">
        <color indexed="64"/>
      </top>
      <bottom style="thin">
        <color auto="1"/>
      </bottom>
      <diagonal/>
    </border>
    <border>
      <left style="thin">
        <color auto="1"/>
      </left>
      <right style="thin">
        <color auto="1"/>
      </right>
      <top style="medium">
        <color indexed="64"/>
      </top>
      <bottom/>
      <diagonal/>
    </border>
    <border>
      <left style="thin">
        <color auto="1"/>
      </left>
      <right style="thin">
        <color auto="1"/>
      </right>
      <top/>
      <bottom style="medium">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auto="1"/>
      </left>
      <right style="thin">
        <color auto="1"/>
      </right>
      <top style="hair">
        <color auto="1"/>
      </top>
      <bottom style="medium">
        <color indexed="64"/>
      </bottom>
      <diagonal/>
    </border>
    <border>
      <left style="medium">
        <color indexed="64"/>
      </left>
      <right/>
      <top style="thin">
        <color theme="4"/>
      </top>
      <bottom/>
      <diagonal/>
    </border>
    <border>
      <left/>
      <right style="medium">
        <color indexed="64"/>
      </right>
      <top style="thin">
        <color theme="4"/>
      </top>
      <bottom/>
      <diagonal/>
    </border>
    <border>
      <left style="medium">
        <color indexed="64"/>
      </left>
      <right/>
      <top style="thin">
        <color theme="4"/>
      </top>
      <bottom style="thin">
        <color theme="4"/>
      </bottom>
      <diagonal/>
    </border>
    <border>
      <left style="medium">
        <color indexed="64"/>
      </left>
      <right/>
      <top style="thin">
        <color theme="4"/>
      </top>
      <bottom style="medium">
        <color indexed="64"/>
      </bottom>
      <diagonal/>
    </border>
    <border>
      <left/>
      <right style="medium">
        <color indexed="64"/>
      </right>
      <top style="thin">
        <color theme="4"/>
      </top>
      <bottom style="medium">
        <color indexed="64"/>
      </bottom>
      <diagonal/>
    </border>
  </borders>
  <cellStyleXfs count="9">
    <xf numFmtId="0" fontId="0" fillId="0" borderId="0"/>
    <xf numFmtId="0" fontId="2" fillId="0" borderId="1">
      <alignment horizontal="left" vertical="center"/>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lignment vertical="top"/>
    </xf>
  </cellStyleXfs>
  <cellXfs count="177">
    <xf numFmtId="0" fontId="0" fillId="0" borderId="0" xfId="0"/>
    <xf numFmtId="0" fontId="1" fillId="0" borderId="0" xfId="0" applyFont="1"/>
    <xf numFmtId="4" fontId="0" fillId="0" borderId="0" xfId="0" applyNumberFormat="1"/>
    <xf numFmtId="0" fontId="0" fillId="0" borderId="0" xfId="0" applyBorder="1"/>
    <xf numFmtId="4" fontId="0" fillId="0" borderId="0" xfId="0" applyNumberFormat="1" applyBorder="1"/>
    <xf numFmtId="0" fontId="3" fillId="9" borderId="2" xfId="0" applyFont="1" applyFill="1" applyBorder="1"/>
    <xf numFmtId="0" fontId="3" fillId="9" borderId="3" xfId="0" applyFont="1" applyFill="1" applyBorder="1"/>
    <xf numFmtId="0" fontId="0" fillId="0" borderId="2" xfId="0" applyFont="1" applyBorder="1"/>
    <xf numFmtId="0" fontId="3" fillId="9" borderId="4" xfId="0" applyFont="1" applyFill="1" applyBorder="1"/>
    <xf numFmtId="0" fontId="3" fillId="9" borderId="0" xfId="0" applyFont="1" applyFill="1" applyBorder="1"/>
    <xf numFmtId="20" fontId="0" fillId="4" borderId="9" xfId="0" applyNumberFormat="1" applyFill="1" applyBorder="1"/>
    <xf numFmtId="2" fontId="0" fillId="5" borderId="9" xfId="0" applyNumberFormat="1" applyFill="1" applyBorder="1"/>
    <xf numFmtId="0" fontId="0" fillId="6" borderId="9" xfId="0" applyFill="1" applyBorder="1"/>
    <xf numFmtId="20" fontId="0" fillId="3" borderId="12" xfId="0" applyNumberFormat="1" applyFill="1" applyBorder="1"/>
    <xf numFmtId="20" fontId="0" fillId="4" borderId="12" xfId="0" applyNumberFormat="1" applyFill="1" applyBorder="1"/>
    <xf numFmtId="2" fontId="0" fillId="5" borderId="12" xfId="0" applyNumberFormat="1" applyFill="1" applyBorder="1"/>
    <xf numFmtId="0" fontId="0" fillId="6" borderId="12" xfId="0" applyFill="1" applyBorder="1"/>
    <xf numFmtId="20" fontId="0" fillId="4" borderId="8" xfId="0" applyNumberFormat="1" applyFill="1" applyBorder="1"/>
    <xf numFmtId="2" fontId="0" fillId="5" borderId="8" xfId="0" applyNumberFormat="1" applyFill="1" applyBorder="1"/>
    <xf numFmtId="0" fontId="0" fillId="6" borderId="8" xfId="0" applyFill="1" applyBorder="1"/>
    <xf numFmtId="0" fontId="0" fillId="8" borderId="8" xfId="0" applyFill="1" applyBorder="1"/>
    <xf numFmtId="0" fontId="0" fillId="11" borderId="8" xfId="0" applyFill="1" applyBorder="1"/>
    <xf numFmtId="0" fontId="0" fillId="8" borderId="9" xfId="0" applyFill="1" applyBorder="1"/>
    <xf numFmtId="0" fontId="0" fillId="8" borderId="12" xfId="0" applyFill="1" applyBorder="1"/>
    <xf numFmtId="0" fontId="0" fillId="11" borderId="12" xfId="0" applyFill="1" applyBorder="1"/>
    <xf numFmtId="164" fontId="4" fillId="2" borderId="5" xfId="0" applyNumberFormat="1" applyFont="1" applyFill="1" applyBorder="1"/>
    <xf numFmtId="20" fontId="4" fillId="3" borderId="6" xfId="0" applyNumberFormat="1" applyFont="1" applyFill="1" applyBorder="1"/>
    <xf numFmtId="20" fontId="4" fillId="4" borderId="6" xfId="0" applyNumberFormat="1" applyFont="1" applyFill="1" applyBorder="1"/>
    <xf numFmtId="165" fontId="4" fillId="5" borderId="6" xfId="0" applyNumberFormat="1" applyFont="1" applyFill="1" applyBorder="1"/>
    <xf numFmtId="0" fontId="4" fillId="6" borderId="6" xfId="0" applyFont="1" applyFill="1" applyBorder="1" applyAlignment="1">
      <alignment horizontal="center"/>
    </xf>
    <xf numFmtId="0" fontId="4" fillId="8" borderId="6" xfId="0" applyFont="1" applyFill="1" applyBorder="1"/>
    <xf numFmtId="0" fontId="5" fillId="11" borderId="6" xfId="0" applyFont="1" applyFill="1" applyBorder="1"/>
    <xf numFmtId="4" fontId="1" fillId="0" borderId="0" xfId="0" applyNumberFormat="1" applyFont="1"/>
    <xf numFmtId="4" fontId="3" fillId="9" borderId="3" xfId="0" applyNumberFormat="1" applyFont="1" applyFill="1" applyBorder="1"/>
    <xf numFmtId="0" fontId="0" fillId="0" borderId="0" xfId="0" applyFont="1" applyBorder="1"/>
    <xf numFmtId="1" fontId="0" fillId="0" borderId="0" xfId="0" applyNumberFormat="1"/>
    <xf numFmtId="1" fontId="1" fillId="0" borderId="0" xfId="0" applyNumberFormat="1" applyFont="1"/>
    <xf numFmtId="0" fontId="0" fillId="7" borderId="13" xfId="0" applyFill="1" applyBorder="1"/>
    <xf numFmtId="0" fontId="0" fillId="7" borderId="16" xfId="0" applyFill="1" applyBorder="1"/>
    <xf numFmtId="0" fontId="0" fillId="10" borderId="8" xfId="0" applyFill="1" applyBorder="1"/>
    <xf numFmtId="0" fontId="0" fillId="10" borderId="9" xfId="0" applyFill="1" applyBorder="1"/>
    <xf numFmtId="0" fontId="0" fillId="7" borderId="10" xfId="0" applyFill="1" applyBorder="1"/>
    <xf numFmtId="0" fontId="5" fillId="10" borderId="6" xfId="0" applyFont="1" applyFill="1" applyBorder="1"/>
    <xf numFmtId="0" fontId="0" fillId="7" borderId="7" xfId="0" applyFill="1" applyBorder="1"/>
    <xf numFmtId="0" fontId="6" fillId="12" borderId="0" xfId="0" applyFont="1" applyFill="1"/>
    <xf numFmtId="0" fontId="0" fillId="12" borderId="0" xfId="0" applyFill="1"/>
    <xf numFmtId="0" fontId="6" fillId="12" borderId="0" xfId="0" quotePrefix="1" applyFont="1" applyFill="1"/>
    <xf numFmtId="0" fontId="0" fillId="0" borderId="8" xfId="0" applyFont="1" applyBorder="1"/>
    <xf numFmtId="4" fontId="0" fillId="0" borderId="8" xfId="0" applyNumberFormat="1" applyFont="1" applyBorder="1"/>
    <xf numFmtId="0" fontId="0" fillId="11" borderId="9" xfId="0" applyNumberFormat="1" applyFill="1" applyBorder="1"/>
    <xf numFmtId="0" fontId="5" fillId="11" borderId="17" xfId="0" applyFont="1" applyFill="1" applyBorder="1"/>
    <xf numFmtId="0" fontId="0" fillId="11" borderId="13" xfId="0" applyFill="1" applyBorder="1"/>
    <xf numFmtId="2" fontId="1" fillId="0" borderId="8" xfId="0" applyNumberFormat="1" applyFont="1" applyBorder="1"/>
    <xf numFmtId="166" fontId="0" fillId="0" borderId="8" xfId="0" applyNumberFormat="1" applyBorder="1"/>
    <xf numFmtId="0" fontId="1" fillId="0" borderId="8" xfId="0" applyFont="1" applyBorder="1"/>
    <xf numFmtId="20" fontId="0" fillId="3" borderId="19" xfId="0" applyNumberFormat="1" applyFill="1" applyBorder="1"/>
    <xf numFmtId="2" fontId="0" fillId="0" borderId="0" xfId="0" applyNumberFormat="1"/>
    <xf numFmtId="0" fontId="12" fillId="0" borderId="0" xfId="0" applyFont="1" applyFill="1"/>
    <xf numFmtId="1" fontId="13" fillId="0" borderId="22" xfId="0" applyNumberFormat="1" applyFont="1" applyFill="1" applyBorder="1" applyAlignment="1" applyProtection="1">
      <alignment horizontal="center"/>
      <protection hidden="1"/>
    </xf>
    <xf numFmtId="1" fontId="13" fillId="0" borderId="23" xfId="0" applyNumberFormat="1" applyFont="1" applyFill="1" applyBorder="1" applyAlignment="1" applyProtection="1">
      <alignment horizontal="left"/>
      <protection hidden="1"/>
    </xf>
    <xf numFmtId="1" fontId="13" fillId="0" borderId="24" xfId="0" applyNumberFormat="1" applyFont="1" applyFill="1" applyBorder="1" applyAlignment="1" applyProtection="1">
      <alignment horizontal="center"/>
      <protection hidden="1"/>
    </xf>
    <xf numFmtId="1" fontId="13" fillId="0" borderId="25" xfId="0" applyNumberFormat="1" applyFont="1" applyFill="1" applyBorder="1" applyAlignment="1" applyProtection="1">
      <alignment horizontal="left"/>
      <protection hidden="1"/>
    </xf>
    <xf numFmtId="1" fontId="13" fillId="0" borderId="27" xfId="0" applyNumberFormat="1" applyFont="1" applyFill="1" applyBorder="1" applyAlignment="1" applyProtection="1">
      <alignment horizontal="left"/>
      <protection hidden="1"/>
    </xf>
    <xf numFmtId="0" fontId="0" fillId="6" borderId="8" xfId="0" applyFont="1" applyFill="1" applyBorder="1"/>
    <xf numFmtId="167" fontId="0" fillId="4" borderId="8" xfId="0" applyNumberFormat="1" applyFont="1" applyFill="1" applyBorder="1" applyAlignment="1">
      <alignment horizontal="center"/>
    </xf>
    <xf numFmtId="0" fontId="4" fillId="13" borderId="6" xfId="0" applyFont="1" applyFill="1" applyBorder="1" applyAlignment="1">
      <alignment horizontal="center"/>
    </xf>
    <xf numFmtId="167" fontId="0" fillId="13" borderId="12" xfId="0" applyNumberFormat="1" applyFill="1" applyBorder="1"/>
    <xf numFmtId="167" fontId="0" fillId="13" borderId="8" xfId="0" applyNumberFormat="1" applyFill="1" applyBorder="1"/>
    <xf numFmtId="167" fontId="0" fillId="13" borderId="9" xfId="0" applyNumberFormat="1" applyFill="1" applyBorder="1"/>
    <xf numFmtId="0" fontId="15" fillId="9" borderId="2" xfId="0" applyFont="1" applyFill="1" applyBorder="1"/>
    <xf numFmtId="0" fontId="15" fillId="9" borderId="4" xfId="0" applyFont="1" applyFill="1" applyBorder="1" applyAlignment="1">
      <alignment horizontal="center" wrapText="1"/>
    </xf>
    <xf numFmtId="0" fontId="16" fillId="0" borderId="0" xfId="0" applyFont="1" applyAlignment="1">
      <alignment horizontal="left"/>
    </xf>
    <xf numFmtId="0" fontId="17" fillId="0" borderId="2" xfId="0" applyFont="1" applyBorder="1"/>
    <xf numFmtId="0" fontId="18" fillId="0" borderId="2" xfId="0" applyFont="1" applyBorder="1"/>
    <xf numFmtId="0" fontId="19" fillId="0" borderId="2" xfId="0" applyFont="1" applyBorder="1"/>
    <xf numFmtId="0" fontId="20" fillId="0" borderId="32" xfId="0" applyFont="1" applyBorder="1"/>
    <xf numFmtId="0" fontId="21" fillId="0" borderId="0" xfId="0" applyFont="1" applyAlignment="1">
      <alignment horizontal="left"/>
    </xf>
    <xf numFmtId="0" fontId="22" fillId="0" borderId="0" xfId="0" applyFont="1" applyAlignment="1">
      <alignment horizontal="right"/>
    </xf>
    <xf numFmtId="0" fontId="0" fillId="8" borderId="30" xfId="0" applyFill="1" applyBorder="1"/>
    <xf numFmtId="0" fontId="0" fillId="8" borderId="35" xfId="0" applyFill="1" applyBorder="1"/>
    <xf numFmtId="0" fontId="0" fillId="8" borderId="36" xfId="0" applyFill="1" applyBorder="1"/>
    <xf numFmtId="0" fontId="0" fillId="0" borderId="30" xfId="0" applyFill="1" applyBorder="1"/>
    <xf numFmtId="0" fontId="0" fillId="0" borderId="35" xfId="0" applyFill="1" applyBorder="1"/>
    <xf numFmtId="0" fontId="0" fillId="0" borderId="36" xfId="0" applyFill="1" applyBorder="1"/>
    <xf numFmtId="0" fontId="0" fillId="8" borderId="31" xfId="0" applyFill="1" applyBorder="1"/>
    <xf numFmtId="0" fontId="0" fillId="8" borderId="37" xfId="0" applyFill="1" applyBorder="1"/>
    <xf numFmtId="0" fontId="0" fillId="8" borderId="38" xfId="0" applyFill="1" applyBorder="1"/>
    <xf numFmtId="0" fontId="0" fillId="0" borderId="31" xfId="0" applyFill="1" applyBorder="1"/>
    <xf numFmtId="0" fontId="0" fillId="0" borderId="37" xfId="0" applyFill="1" applyBorder="1"/>
    <xf numFmtId="0" fontId="0" fillId="0" borderId="38" xfId="0" applyFill="1" applyBorder="1"/>
    <xf numFmtId="0" fontId="0" fillId="8" borderId="29" xfId="0" applyFill="1" applyBorder="1"/>
    <xf numFmtId="0" fontId="0" fillId="8" borderId="39" xfId="0" applyFill="1" applyBorder="1"/>
    <xf numFmtId="0" fontId="0" fillId="8" borderId="40" xfId="0" applyFill="1" applyBorder="1"/>
    <xf numFmtId="0" fontId="0" fillId="0" borderId="29" xfId="0" applyFill="1" applyBorder="1"/>
    <xf numFmtId="0" fontId="0" fillId="0" borderId="39" xfId="0" applyFill="1" applyBorder="1"/>
    <xf numFmtId="0" fontId="0" fillId="0" borderId="40" xfId="0" applyFill="1" applyBorder="1"/>
    <xf numFmtId="0" fontId="22" fillId="0" borderId="0" xfId="0" applyFont="1" applyAlignment="1">
      <alignment horizontal="left"/>
    </xf>
    <xf numFmtId="0" fontId="23" fillId="0" borderId="0" xfId="0" applyFont="1"/>
    <xf numFmtId="168" fontId="18" fillId="0" borderId="4" xfId="0" applyNumberFormat="1" applyFont="1" applyBorder="1" applyAlignment="1">
      <alignment horizontal="left" indent="4"/>
    </xf>
    <xf numFmtId="168" fontId="19" fillId="0" borderId="4" xfId="0" applyNumberFormat="1" applyFont="1" applyBorder="1" applyAlignment="1">
      <alignment horizontal="left" indent="4"/>
    </xf>
    <xf numFmtId="168" fontId="20" fillId="0" borderId="33" xfId="0" applyNumberFormat="1" applyFont="1" applyBorder="1" applyAlignment="1">
      <alignment horizontal="left" indent="4"/>
    </xf>
    <xf numFmtId="168" fontId="17" fillId="0" borderId="2" xfId="0" applyNumberFormat="1" applyFont="1" applyBorder="1" applyAlignment="1">
      <alignment horizontal="left" indent="4"/>
    </xf>
    <xf numFmtId="0" fontId="0" fillId="0" borderId="0" xfId="0" quotePrefix="1"/>
    <xf numFmtId="0" fontId="3" fillId="9" borderId="41" xfId="0" applyFont="1" applyFill="1" applyBorder="1"/>
    <xf numFmtId="0" fontId="3" fillId="9" borderId="42" xfId="0" applyFont="1" applyFill="1" applyBorder="1"/>
    <xf numFmtId="0" fontId="3" fillId="9" borderId="43" xfId="0" applyFont="1" applyFill="1" applyBorder="1"/>
    <xf numFmtId="0" fontId="0" fillId="14" borderId="44" xfId="0" applyFont="1" applyFill="1" applyBorder="1"/>
    <xf numFmtId="0" fontId="0" fillId="14" borderId="37" xfId="0" applyFont="1" applyFill="1" applyBorder="1"/>
    <xf numFmtId="0" fontId="0" fillId="14" borderId="45" xfId="0" applyFont="1" applyFill="1" applyBorder="1"/>
    <xf numFmtId="0" fontId="14" fillId="9" borderId="8" xfId="0" applyFont="1" applyFill="1" applyBorder="1"/>
    <xf numFmtId="0" fontId="5" fillId="0" borderId="8" xfId="0" applyFont="1" applyBorder="1"/>
    <xf numFmtId="4" fontId="5" fillId="0" borderId="8" xfId="0" applyNumberFormat="1" applyFont="1" applyBorder="1"/>
    <xf numFmtId="0" fontId="4" fillId="0" borderId="8" xfId="0" applyFont="1" applyBorder="1"/>
    <xf numFmtId="4" fontId="4" fillId="0" borderId="8" xfId="0" applyNumberFormat="1" applyFont="1" applyBorder="1"/>
    <xf numFmtId="0" fontId="24" fillId="12" borderId="0" xfId="0" applyFont="1" applyFill="1" applyBorder="1" applyAlignment="1">
      <alignment horizontal="center"/>
    </xf>
    <xf numFmtId="0" fontId="26" fillId="0" borderId="0" xfId="0" applyFont="1"/>
    <xf numFmtId="0" fontId="26" fillId="15" borderId="0" xfId="0" applyFont="1" applyFill="1"/>
    <xf numFmtId="14" fontId="0" fillId="0" borderId="0" xfId="0" applyNumberFormat="1"/>
    <xf numFmtId="0" fontId="0" fillId="15" borderId="0" xfId="0" applyFill="1"/>
    <xf numFmtId="0" fontId="0" fillId="11" borderId="8" xfId="0" applyNumberFormat="1" applyFill="1" applyBorder="1"/>
    <xf numFmtId="16" fontId="0" fillId="7" borderId="16" xfId="0" applyNumberFormat="1" applyFill="1" applyBorder="1"/>
    <xf numFmtId="0" fontId="0" fillId="6" borderId="48" xfId="0" applyFont="1" applyFill="1" applyBorder="1"/>
    <xf numFmtId="167" fontId="0" fillId="4" borderId="48" xfId="0" applyNumberFormat="1" applyFont="1" applyFill="1" applyBorder="1" applyAlignment="1">
      <alignment horizontal="center"/>
    </xf>
    <xf numFmtId="169" fontId="0" fillId="2" borderId="14" xfId="0" applyNumberFormat="1" applyFill="1" applyBorder="1"/>
    <xf numFmtId="169" fontId="0" fillId="2" borderId="15" xfId="0" applyNumberFormat="1" applyFill="1" applyBorder="1"/>
    <xf numFmtId="169" fontId="0" fillId="2" borderId="11" xfId="0" applyNumberFormat="1" applyFill="1" applyBorder="1"/>
    <xf numFmtId="169" fontId="13" fillId="0" borderId="20" xfId="0" applyNumberFormat="1" applyFont="1" applyFill="1" applyBorder="1" applyAlignment="1" applyProtection="1">
      <alignment horizontal="center"/>
      <protection hidden="1"/>
    </xf>
    <xf numFmtId="169" fontId="13" fillId="0" borderId="21" xfId="0" applyNumberFormat="1" applyFont="1" applyFill="1" applyBorder="1" applyAlignment="1" applyProtection="1">
      <alignment horizontal="center"/>
      <protection hidden="1"/>
    </xf>
    <xf numFmtId="169" fontId="13" fillId="0" borderId="26" xfId="0" applyNumberFormat="1" applyFont="1" applyFill="1" applyBorder="1" applyAlignment="1" applyProtection="1">
      <alignment horizontal="center"/>
      <protection hidden="1"/>
    </xf>
    <xf numFmtId="0" fontId="14" fillId="6" borderId="48" xfId="0" applyFont="1" applyFill="1" applyBorder="1" applyAlignment="1">
      <alignment horizontal="center"/>
    </xf>
    <xf numFmtId="0" fontId="0" fillId="6" borderId="12" xfId="0" applyFont="1" applyFill="1" applyBorder="1"/>
    <xf numFmtId="167" fontId="0" fillId="4" borderId="12" xfId="0" applyNumberFormat="1" applyFont="1" applyFill="1" applyBorder="1" applyAlignment="1">
      <alignment horizontal="center"/>
    </xf>
    <xf numFmtId="167" fontId="0" fillId="10" borderId="12" xfId="0" applyNumberFormat="1" applyFont="1" applyFill="1" applyBorder="1" applyAlignment="1">
      <alignment horizontal="center"/>
    </xf>
    <xf numFmtId="167" fontId="0" fillId="10" borderId="8" xfId="0" applyNumberFormat="1" applyFont="1" applyFill="1" applyBorder="1" applyAlignment="1">
      <alignment horizontal="center"/>
    </xf>
    <xf numFmtId="0" fontId="0" fillId="11" borderId="10" xfId="0" applyNumberFormat="1" applyFill="1" applyBorder="1"/>
    <xf numFmtId="0" fontId="0" fillId="11" borderId="54" xfId="0" applyNumberFormat="1" applyFill="1" applyBorder="1"/>
    <xf numFmtId="0" fontId="25" fillId="12" borderId="46" xfId="0" applyFont="1" applyFill="1" applyBorder="1" applyAlignment="1">
      <alignment horizontal="center"/>
    </xf>
    <xf numFmtId="0" fontId="25" fillId="12" borderId="28" xfId="0" applyFont="1" applyFill="1" applyBorder="1" applyAlignment="1">
      <alignment horizontal="center"/>
    </xf>
    <xf numFmtId="0" fontId="25" fillId="12" borderId="47" xfId="0" applyFont="1" applyFill="1" applyBorder="1" applyAlignment="1">
      <alignment horizontal="center"/>
    </xf>
    <xf numFmtId="0" fontId="0" fillId="0" borderId="18" xfId="0" applyBorder="1" applyAlignment="1">
      <alignment horizontal="left"/>
    </xf>
    <xf numFmtId="0" fontId="11" fillId="0" borderId="0" xfId="0" applyFont="1" applyFill="1" applyBorder="1" applyAlignment="1">
      <alignment horizontal="center"/>
    </xf>
    <xf numFmtId="1" fontId="10" fillId="0" borderId="51" xfId="8" applyNumberFormat="1" applyFont="1" applyFill="1" applyBorder="1" applyAlignment="1">
      <alignment horizontal="center" vertical="center"/>
    </xf>
    <xf numFmtId="1" fontId="10" fillId="0" borderId="53" xfId="8" applyNumberFormat="1" applyFont="1" applyFill="1" applyBorder="1" applyAlignment="1">
      <alignment horizontal="center" vertical="center"/>
    </xf>
    <xf numFmtId="1" fontId="10" fillId="0" borderId="50" xfId="8" applyNumberFormat="1" applyFont="1" applyFill="1" applyBorder="1" applyAlignment="1">
      <alignment horizontal="center" vertical="center"/>
    </xf>
    <xf numFmtId="1" fontId="10" fillId="0" borderId="48" xfId="8" applyNumberFormat="1" applyFont="1" applyFill="1" applyBorder="1" applyAlignment="1">
      <alignment horizontal="center" vertical="center"/>
    </xf>
    <xf numFmtId="20" fontId="14" fillId="4" borderId="50" xfId="0" applyNumberFormat="1" applyFont="1" applyFill="1" applyBorder="1" applyAlignment="1">
      <alignment horizontal="center" vertical="center"/>
    </xf>
    <xf numFmtId="20" fontId="14" fillId="4" borderId="48" xfId="0" applyNumberFormat="1" applyFont="1" applyFill="1" applyBorder="1" applyAlignment="1">
      <alignment horizontal="center" vertical="center"/>
    </xf>
    <xf numFmtId="20" fontId="14" fillId="10" borderId="50" xfId="0" applyNumberFormat="1" applyFont="1" applyFill="1" applyBorder="1" applyAlignment="1">
      <alignment horizontal="center" vertical="center"/>
    </xf>
    <xf numFmtId="20" fontId="14" fillId="10" borderId="48" xfId="0" applyNumberFormat="1" applyFont="1" applyFill="1" applyBorder="1" applyAlignment="1">
      <alignment horizontal="center" vertical="center"/>
    </xf>
    <xf numFmtId="1" fontId="10" fillId="0" borderId="49" xfId="8" applyNumberFormat="1" applyFont="1" applyFill="1" applyBorder="1" applyAlignment="1">
      <alignment horizontal="center" vertical="center"/>
    </xf>
    <xf numFmtId="1" fontId="10" fillId="0" borderId="52" xfId="8" applyNumberFormat="1" applyFont="1" applyFill="1" applyBorder="1" applyAlignment="1">
      <alignment horizontal="center" vertical="center"/>
    </xf>
    <xf numFmtId="0" fontId="0" fillId="0" borderId="0" xfId="0" applyAlignment="1">
      <alignment horizontal="center"/>
    </xf>
    <xf numFmtId="0" fontId="17" fillId="0" borderId="34" xfId="0" applyFont="1" applyFill="1" applyBorder="1" applyAlignment="1">
      <alignment horizontal="center"/>
    </xf>
    <xf numFmtId="0" fontId="18" fillId="0" borderId="34" xfId="0" applyFont="1" applyFill="1" applyBorder="1" applyAlignment="1">
      <alignment horizontal="center"/>
    </xf>
    <xf numFmtId="0" fontId="19" fillId="0" borderId="34" xfId="0" applyFont="1" applyBorder="1" applyAlignment="1">
      <alignment horizontal="center"/>
    </xf>
    <xf numFmtId="0" fontId="20" fillId="0" borderId="34" xfId="0" applyFont="1" applyBorder="1" applyAlignment="1">
      <alignment horizontal="center"/>
    </xf>
    <xf numFmtId="167" fontId="0" fillId="10" borderId="48" xfId="0" applyNumberFormat="1" applyFont="1" applyFill="1" applyBorder="1" applyAlignment="1">
      <alignment horizontal="center"/>
    </xf>
    <xf numFmtId="20" fontId="14" fillId="16" borderId="50" xfId="0" applyNumberFormat="1" applyFont="1" applyFill="1" applyBorder="1" applyAlignment="1">
      <alignment horizontal="center" vertical="center"/>
    </xf>
    <xf numFmtId="20" fontId="14" fillId="16" borderId="48" xfId="0" applyNumberFormat="1" applyFont="1" applyFill="1" applyBorder="1" applyAlignment="1">
      <alignment horizontal="center" vertical="center"/>
    </xf>
    <xf numFmtId="167" fontId="0" fillId="16" borderId="12" xfId="0" applyNumberFormat="1" applyFont="1" applyFill="1" applyBorder="1" applyAlignment="1">
      <alignment horizontal="center"/>
    </xf>
    <xf numFmtId="167" fontId="0" fillId="16" borderId="8" xfId="0" applyNumberFormat="1" applyFont="1" applyFill="1" applyBorder="1" applyAlignment="1">
      <alignment horizontal="center"/>
    </xf>
    <xf numFmtId="167" fontId="0" fillId="16" borderId="48" xfId="0" applyNumberFormat="1" applyFont="1" applyFill="1" applyBorder="1" applyAlignment="1">
      <alignment horizontal="center"/>
    </xf>
    <xf numFmtId="0" fontId="14" fillId="6" borderId="57" xfId="0" applyFont="1" applyFill="1" applyBorder="1" applyAlignment="1">
      <alignment horizontal="center"/>
    </xf>
    <xf numFmtId="0" fontId="14" fillId="6" borderId="60" xfId="0" applyFont="1" applyFill="1" applyBorder="1" applyAlignment="1">
      <alignment horizontal="center"/>
    </xf>
    <xf numFmtId="0" fontId="14" fillId="6" borderId="61" xfId="0" applyFont="1" applyFill="1" applyBorder="1" applyAlignment="1">
      <alignment horizontal="center"/>
    </xf>
    <xf numFmtId="1" fontId="10" fillId="0" borderId="58" xfId="8" applyNumberFormat="1" applyFont="1" applyFill="1" applyBorder="1" applyAlignment="1">
      <alignment horizontal="center" vertical="center"/>
    </xf>
    <xf numFmtId="1" fontId="10" fillId="0" borderId="59" xfId="8" applyNumberFormat="1" applyFont="1" applyFill="1" applyBorder="1" applyAlignment="1">
      <alignment horizontal="center" vertical="center"/>
    </xf>
    <xf numFmtId="1" fontId="13" fillId="0" borderId="19" xfId="0" applyNumberFormat="1" applyFont="1" applyFill="1" applyBorder="1" applyAlignment="1" applyProtection="1">
      <alignment horizontal="center"/>
      <protection hidden="1"/>
    </xf>
    <xf numFmtId="1" fontId="13" fillId="0" borderId="62" xfId="0" applyNumberFormat="1" applyFont="1" applyFill="1" applyBorder="1" applyAlignment="1" applyProtection="1">
      <alignment horizontal="center"/>
      <protection hidden="1"/>
    </xf>
    <xf numFmtId="1" fontId="13" fillId="0" borderId="59" xfId="0" applyNumberFormat="1" applyFont="1" applyFill="1" applyBorder="1" applyAlignment="1" applyProtection="1">
      <alignment horizontal="center"/>
      <protection hidden="1"/>
    </xf>
    <xf numFmtId="0" fontId="3" fillId="9" borderId="55" xfId="0" applyFont="1" applyFill="1" applyBorder="1"/>
    <xf numFmtId="0" fontId="3" fillId="9" borderId="56" xfId="0" applyFont="1" applyFill="1" applyBorder="1"/>
    <xf numFmtId="0" fontId="0" fillId="0" borderId="63" xfId="0" applyFont="1" applyBorder="1"/>
    <xf numFmtId="3" fontId="0" fillId="0" borderId="64" xfId="0" applyNumberFormat="1" applyFont="1" applyBorder="1"/>
    <xf numFmtId="0" fontId="0" fillId="0" borderId="65" xfId="0" applyFont="1" applyBorder="1"/>
    <xf numFmtId="0" fontId="0" fillId="0" borderId="66" xfId="0" applyFont="1" applyBorder="1"/>
    <xf numFmtId="3" fontId="0" fillId="0" borderId="67" xfId="0" applyNumberFormat="1" applyFont="1" applyBorder="1"/>
  </cellXfs>
  <cellStyles count="9">
    <cellStyle name="Besøgt link" xfId="3" builtinId="9" hidden="1"/>
    <cellStyle name="Besøgt link" xfId="5" builtinId="9" hidden="1"/>
    <cellStyle name="Besøgt link" xfId="7" builtinId="9" hidden="1"/>
    <cellStyle name="Data Labels" xfId="1" xr:uid="{00000000-0005-0000-0000-000003000000}"/>
    <cellStyle name="Link" xfId="2" builtinId="8" hidden="1"/>
    <cellStyle name="Link" xfId="4" builtinId="8" hidden="1"/>
    <cellStyle name="Link" xfId="6" builtinId="8" hidden="1"/>
    <cellStyle name="Normal" xfId="0" builtinId="0"/>
    <cellStyle name="Normal_RLOG" xfId="8" xr:uid="{00000000-0005-0000-0000-000008000000}"/>
  </cellStyles>
  <dxfs count="25">
    <dxf>
      <font>
        <color theme="7"/>
      </font>
      <fill>
        <patternFill>
          <bgColor theme="7"/>
        </patternFill>
      </fill>
    </dxf>
    <dxf>
      <font>
        <color theme="6"/>
      </font>
      <fill>
        <patternFill>
          <bgColor theme="6"/>
        </patternFill>
      </fill>
    </dxf>
    <dxf>
      <font>
        <color theme="5"/>
      </font>
      <fill>
        <patternFill>
          <bgColor theme="5"/>
        </patternFill>
      </fill>
    </dxf>
    <dxf>
      <font>
        <color theme="4"/>
      </font>
      <fill>
        <patternFill>
          <bgColor theme="4"/>
        </patternFill>
      </fill>
    </dxf>
    <dxf>
      <numFmt numFmtId="4" formatCode="#,##0.00"/>
    </dxf>
    <dxf>
      <numFmt numFmtId="4" formatCode="#,##0.00"/>
    </dxf>
    <dxf>
      <numFmt numFmtId="4" formatCode="#,##0.00"/>
    </dxf>
    <dxf>
      <fill>
        <patternFill patternType="solid">
          <fgColor indexed="64"/>
          <bgColor theme="3" tint="0.59999389629810485"/>
        </patternFill>
      </fill>
      <border diagonalUp="0" diagonalDown="0">
        <left style="thin">
          <color auto="1"/>
        </left>
        <right/>
        <top style="thin">
          <color auto="1"/>
        </top>
        <bottom style="thin">
          <color auto="1"/>
        </bottom>
        <vertical style="thin">
          <color auto="1"/>
        </vertical>
        <horizontal style="thin">
          <color auto="1"/>
        </horizontal>
      </border>
    </dxf>
    <dxf>
      <numFmt numFmtId="0" formatCode="General"/>
      <fill>
        <patternFill patternType="solid">
          <fgColor indexed="64"/>
          <bgColor theme="2"/>
        </patternFill>
      </fill>
      <border diagonalUp="0" diagonalDown="0">
        <left style="thin">
          <color auto="1"/>
        </left>
        <right/>
        <top style="thin">
          <color auto="1"/>
        </top>
        <bottom/>
        <vertical/>
        <horizontal/>
      </border>
    </dxf>
    <dxf>
      <numFmt numFmtId="0" formatCode="General"/>
      <fill>
        <patternFill patternType="solid">
          <fgColor indexed="64"/>
          <bgColor theme="2"/>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79998168889431442"/>
        </patternFill>
      </fill>
      <border diagonalUp="0" diagonalDown="0" outline="0">
        <left style="thin">
          <color auto="1"/>
        </left>
        <right style="thin">
          <color auto="1"/>
        </right>
        <top style="thin">
          <color auto="1"/>
        </top>
        <bottom style="thin">
          <color auto="1"/>
        </bottom>
      </border>
    </dxf>
    <dxf>
      <fill>
        <patternFill patternType="solid">
          <fgColor indexed="64"/>
          <bgColor theme="9" tint="0.39997558519241921"/>
        </patternFill>
      </fill>
      <border diagonalUp="0" diagonalDown="0" outline="0">
        <left style="thin">
          <color auto="1"/>
        </left>
        <right style="thin">
          <color auto="1"/>
        </right>
        <top style="thin">
          <color auto="1"/>
        </top>
        <bottom style="thin">
          <color auto="1"/>
        </bottom>
      </border>
    </dxf>
    <dxf>
      <numFmt numFmtId="167" formatCode="m:ss"/>
      <fill>
        <patternFill patternType="solid">
          <fgColor indexed="64"/>
          <bgColor theme="7" tint="0.79998168889431442"/>
        </patternFill>
      </fill>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border diagonalUp="0" diagonalDown="0" outline="0">
        <left style="thin">
          <color auto="1"/>
        </left>
        <right style="thin">
          <color auto="1"/>
        </right>
        <top style="thin">
          <color auto="1"/>
        </top>
        <bottom style="thin">
          <color auto="1"/>
        </bottom>
      </border>
    </dxf>
    <dxf>
      <fill>
        <patternFill patternType="solid">
          <fgColor indexed="64"/>
          <bgColor theme="4" tint="0.5999938962981048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indexed="64"/>
          <bgColor theme="4" tint="0.5999938962981048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2" formatCode="0.00"/>
      <fill>
        <patternFill patternType="solid">
          <fgColor indexed="64"/>
          <bgColor theme="5" tint="0.5999938962981048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25" formatCode="hh:mm"/>
      <fill>
        <patternFill patternType="solid">
          <fgColor indexed="64"/>
          <bgColor theme="7" tint="0.59999389629810485"/>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25" formatCode="hh:mm"/>
      <fill>
        <patternFill patternType="solid">
          <fgColor indexed="64"/>
          <bgColor theme="8" tint="0.59999389629810485"/>
        </patternFill>
      </fill>
      <border diagonalUp="0" diagonalDown="0">
        <left style="thin">
          <color auto="1"/>
        </left>
        <right style="thin">
          <color auto="1"/>
        </right>
        <top/>
        <bottom style="thin">
          <color auto="1"/>
        </bottom>
        <vertical/>
        <horizontal/>
      </border>
    </dxf>
    <dxf>
      <numFmt numFmtId="169" formatCode="dd/mm/yy;@"/>
      <fill>
        <patternFill patternType="solid">
          <fgColor indexed="64"/>
          <bgColor theme="9" tint="0.59999389629810485"/>
        </patternFill>
      </fill>
      <border diagonalUp="0" diagonalDown="0">
        <left/>
        <right style="thin">
          <color auto="1"/>
        </right>
        <top style="thin">
          <color auto="1"/>
        </top>
        <bottom style="thin">
          <color auto="1"/>
        </bottom>
        <vertical style="thin">
          <color auto="1"/>
        </vertical>
        <horizontal style="thin">
          <color auto="1"/>
        </horizontal>
      </border>
    </dxf>
    <dxf>
      <border>
        <top style="thin">
          <color auto="1"/>
        </top>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4" tint="0.59999389629810485"/>
        </patternFill>
      </fill>
    </dxf>
    <dxf>
      <border>
        <bottom style="medium">
          <color indexed="64"/>
        </bottom>
      </border>
    </dxf>
    <dxf>
      <font>
        <strike val="0"/>
        <outline val="0"/>
        <shadow val="0"/>
        <u val="none"/>
        <vertAlign val="baseline"/>
        <sz val="14"/>
        <color theme="1"/>
        <name val="Calibri"/>
        <scheme val="minor"/>
      </font>
      <border diagonalUp="0" diagonalDown="0">
        <left style="thin">
          <color auto="1"/>
        </left>
        <right style="thin">
          <color auto="1"/>
        </right>
        <top/>
        <bottom/>
        <vertical style="thin">
          <color auto="1"/>
        </vertical>
        <horizontal/>
      </border>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Fordeling af træningstype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da-DK"/>
        </a:p>
      </c:txPr>
    </c:title>
    <c:autoTitleDeleted val="0"/>
    <c:plotArea>
      <c:layout/>
      <c:doughnutChart>
        <c:varyColors val="1"/>
        <c:ser>
          <c:idx val="0"/>
          <c:order val="0"/>
          <c:tx>
            <c:strRef>
              <c:f>Skemaer!$L$15</c:f>
              <c:strCache>
                <c:ptCount val="1"/>
                <c:pt idx="0">
                  <c:v>Total</c:v>
                </c:pt>
              </c:strCache>
            </c:strRef>
          </c:tx>
          <c:dPt>
            <c:idx val="0"/>
            <c:bubble3D val="0"/>
            <c:spPr>
              <a:solidFill>
                <a:schemeClr val="accent1">
                  <a:shade val="53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5DB0-4786-8567-8D361CCA7048}"/>
              </c:ext>
            </c:extLst>
          </c:dPt>
          <c:dPt>
            <c:idx val="1"/>
            <c:bubble3D val="0"/>
            <c:spPr>
              <a:solidFill>
                <a:schemeClr val="accent1">
                  <a:shade val="76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5DB0-4786-8567-8D361CCA7048}"/>
              </c:ext>
            </c:extLst>
          </c:dPt>
          <c:dPt>
            <c:idx val="2"/>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5DB0-4786-8567-8D361CCA7048}"/>
              </c:ext>
            </c:extLst>
          </c:dPt>
          <c:dPt>
            <c:idx val="3"/>
            <c:bubble3D val="0"/>
            <c:spPr>
              <a:solidFill>
                <a:schemeClr val="accent1">
                  <a:tint val="77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5DB0-4786-8567-8D361CCA7048}"/>
              </c:ext>
            </c:extLst>
          </c:dPt>
          <c:dPt>
            <c:idx val="4"/>
            <c:bubble3D val="0"/>
            <c:spPr>
              <a:solidFill>
                <a:schemeClr val="accent1">
                  <a:tint val="54000"/>
                </a:schemeClr>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5DB0-4786-8567-8D361CCA7048}"/>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da-DK"/>
              </a:p>
            </c:txPr>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multiLvlStrRef>
              <c:f>Skemaer!$J$16:$K$20</c:f>
              <c:multiLvlStrCache>
                <c:ptCount val="5"/>
                <c:lvl>
                  <c:pt idx="0">
                    <c:v>D</c:v>
                  </c:pt>
                  <c:pt idx="1">
                    <c:v>I</c:v>
                  </c:pt>
                  <c:pt idx="2">
                    <c:v>R</c:v>
                  </c:pt>
                  <c:pt idx="3">
                    <c:v>T</c:v>
                  </c:pt>
                  <c:pt idx="4">
                    <c:v>K</c:v>
                  </c:pt>
                </c:lvl>
                <c:lvl>
                  <c:pt idx="0">
                    <c:v>Distance</c:v>
                  </c:pt>
                  <c:pt idx="1">
                    <c:v>Intervaller</c:v>
                  </c:pt>
                  <c:pt idx="2">
                    <c:v>Recovery</c:v>
                  </c:pt>
                  <c:pt idx="3">
                    <c:v>Tempo</c:v>
                  </c:pt>
                  <c:pt idx="4">
                    <c:v>Konkurrence</c:v>
                  </c:pt>
                </c:lvl>
              </c:multiLvlStrCache>
            </c:multiLvlStrRef>
          </c:cat>
          <c:val>
            <c:numRef>
              <c:f>Skemaer!$L$16:$L$20</c:f>
              <c:numCache>
                <c:formatCode>#,##0.00</c:formatCode>
                <c:ptCount val="5"/>
                <c:pt idx="0">
                  <c:v>364.39</c:v>
                </c:pt>
                <c:pt idx="1">
                  <c:v>5.16</c:v>
                </c:pt>
                <c:pt idx="2">
                  <c:v>249.81999999999996</c:v>
                </c:pt>
                <c:pt idx="3">
                  <c:v>0</c:v>
                </c:pt>
                <c:pt idx="4">
                  <c:v>1321.2300000000002</c:v>
                </c:pt>
              </c:numCache>
            </c:numRef>
          </c:val>
          <c:extLst>
            <c:ext xmlns:c16="http://schemas.microsoft.com/office/drawing/2014/chart" uri="{C3380CC4-5D6E-409C-BE32-E72D297353CC}">
              <c16:uniqueId val="{0000000A-5DB0-4786-8567-8D361CCA7048}"/>
            </c:ext>
          </c:extLst>
        </c:ser>
        <c:dLbls>
          <c:showLegendKey val="0"/>
          <c:showVal val="0"/>
          <c:showCatName val="0"/>
          <c:showSerName val="0"/>
          <c:showPercent val="1"/>
          <c:showBubbleSize val="0"/>
          <c:showLeaderLines val="1"/>
        </c:dLbls>
        <c:firstSliceAng val="0"/>
        <c:holeSize val="40"/>
      </c:doughnut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da-DK"/>
        </a:p>
      </c:txPr>
    </c:legend>
    <c:plotVisOnly val="1"/>
    <c:dispBlanksAs val="gap"/>
    <c:showDLblsOverMax val="0"/>
  </c:chart>
  <c:spPr>
    <a:solidFill>
      <a:schemeClr val="bg1"/>
    </a:solidFill>
    <a:ln w="9525" cap="flat" cmpd="sng" algn="ctr">
      <a:solidFill>
        <a:schemeClr val="dk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3045122484689402"/>
          <c:y val="5.09259259259259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col"/>
        <c:grouping val="clustered"/>
        <c:varyColors val="0"/>
        <c:ser>
          <c:idx val="0"/>
          <c:order val="0"/>
          <c:tx>
            <c:strRef>
              <c:f>Skemaer!$A$22</c:f>
              <c:strCache>
                <c:ptCount val="1"/>
                <c:pt idx="0">
                  <c:v>Procent</c:v>
                </c:pt>
              </c:strCache>
            </c:strRef>
          </c:tx>
          <c:spPr>
            <a:solidFill>
              <a:schemeClr val="accent1"/>
            </a:solidFill>
            <a:ln>
              <a:noFill/>
            </a:ln>
            <a:effectLst/>
          </c:spPr>
          <c:invertIfNegative val="0"/>
          <c:dLbls>
            <c:dLbl>
              <c:idx val="0"/>
              <c:layout>
                <c:manualLayout>
                  <c:x val="-0.21388888888888899"/>
                  <c:y val="-0.70116342228054795"/>
                </c:manualLayout>
              </c:layout>
              <c:spPr>
                <a:noFill/>
                <a:ln>
                  <a:noFill/>
                </a:ln>
                <a:effectLst/>
              </c:spPr>
              <c:txPr>
                <a:bodyPr rot="0" spcFirstLastPara="1" vertOverflow="ellipsis" vert="horz" wrap="square" lIns="38100" tIns="19050" rIns="38100" bIns="19050" anchor="ctr" anchorCtr="1">
                  <a:noAutofit/>
                </a:bodyPr>
                <a:lstStyle/>
                <a:p>
                  <a:pPr>
                    <a:defRPr sz="3200" b="1"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extLst>
                <c:ext xmlns:c15="http://schemas.microsoft.com/office/drawing/2012/chart" uri="{CE6537A1-D6FC-4f65-9D91-7224C49458BB}">
                  <c15:layout>
                    <c:manualLayout>
                      <c:w val="0.23573600174978099"/>
                      <c:h val="0.14640966754155699"/>
                    </c:manualLayout>
                  </c15:layout>
                </c:ext>
                <c:ext xmlns:c16="http://schemas.microsoft.com/office/drawing/2014/chart" uri="{C3380CC4-5D6E-409C-BE32-E72D297353CC}">
                  <c16:uniqueId val="{00000000-C562-4EE0-BD80-6EEB151F233F}"/>
                </c:ext>
              </c:extLst>
            </c:dLbl>
            <c:spPr>
              <a:noFill/>
              <a:ln>
                <a:noFill/>
              </a:ln>
              <a:effectLst/>
            </c:spPr>
            <c:txPr>
              <a:bodyPr rot="0" spcFirstLastPara="1" vertOverflow="ellipsis" vert="horz" wrap="square" lIns="38100" tIns="19050" rIns="38100" bIns="19050" anchor="ctr" anchorCtr="1">
                <a:spAutoFit/>
              </a:bodyPr>
              <a:lstStyle/>
              <a:p>
                <a:pPr>
                  <a:defRPr sz="4000" b="1" i="0" u="none" strike="noStrike" kern="1200" baseline="0">
                    <a:solidFill>
                      <a:schemeClr val="tx1">
                        <a:lumMod val="75000"/>
                        <a:lumOff val="25000"/>
                      </a:schemeClr>
                    </a:solidFill>
                    <a:latin typeface="+mn-lt"/>
                    <a:ea typeface="+mn-ea"/>
                    <a:cs typeface="+mn-cs"/>
                  </a:defRPr>
                </a:pPr>
                <a:endParaRPr lang="da-D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Skemaer!$C$22</c:f>
              <c:numCache>
                <c:formatCode>General</c:formatCode>
                <c:ptCount val="1"/>
                <c:pt idx="0">
                  <c:v>80.86</c:v>
                </c:pt>
              </c:numCache>
            </c:numRef>
          </c:val>
          <c:extLst>
            <c:ext xmlns:c16="http://schemas.microsoft.com/office/drawing/2014/chart" uri="{C3380CC4-5D6E-409C-BE32-E72D297353CC}">
              <c16:uniqueId val="{00000001-C562-4EE0-BD80-6EEB151F233F}"/>
            </c:ext>
          </c:extLst>
        </c:ser>
        <c:dLbls>
          <c:dLblPos val="outEnd"/>
          <c:showLegendKey val="0"/>
          <c:showVal val="1"/>
          <c:showCatName val="0"/>
          <c:showSerName val="0"/>
          <c:showPercent val="0"/>
          <c:showBubbleSize val="0"/>
        </c:dLbls>
        <c:gapWidth val="219"/>
        <c:overlap val="-27"/>
        <c:axId val="1188482560"/>
        <c:axId val="1188484880"/>
      </c:barChart>
      <c:catAx>
        <c:axId val="1188482560"/>
        <c:scaling>
          <c:orientation val="minMax"/>
        </c:scaling>
        <c:delete val="1"/>
        <c:axPos val="b"/>
        <c:majorTickMark val="none"/>
        <c:minorTickMark val="none"/>
        <c:tickLblPos val="nextTo"/>
        <c:crossAx val="1188484880"/>
        <c:crosses val="autoZero"/>
        <c:auto val="1"/>
        <c:lblAlgn val="ctr"/>
        <c:lblOffset val="100"/>
        <c:noMultiLvlLbl val="0"/>
      </c:catAx>
      <c:valAx>
        <c:axId val="1188484880"/>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88482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areaChart>
        <c:grouping val="stacked"/>
        <c:varyColors val="0"/>
        <c:ser>
          <c:idx val="0"/>
          <c:order val="0"/>
          <c:tx>
            <c:strRef>
              <c:f>Skemaer!$C$5</c:f>
              <c:strCache>
                <c:ptCount val="1"/>
                <c:pt idx="0">
                  <c:v>Distance</c:v>
                </c:pt>
              </c:strCache>
            </c:strRef>
          </c:tx>
          <c:spPr>
            <a:solidFill>
              <a:schemeClr val="accent1"/>
            </a:solidFill>
            <a:ln>
              <a:noFill/>
            </a:ln>
            <a:effectLst/>
          </c:spPr>
          <c:cat>
            <c:strRef>
              <c:f>Skemaer!$A$6:$A$17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Skemaer!$C$6:$C$17</c:f>
              <c:numCache>
                <c:formatCode>#,##0.00</c:formatCode>
                <c:ptCount val="12"/>
                <c:pt idx="0">
                  <c:v>213.30999999999995</c:v>
                </c:pt>
                <c:pt idx="1">
                  <c:v>232.7</c:v>
                </c:pt>
                <c:pt idx="2">
                  <c:v>167.01</c:v>
                </c:pt>
                <c:pt idx="3">
                  <c:v>216.51</c:v>
                </c:pt>
                <c:pt idx="4">
                  <c:v>170.76</c:v>
                </c:pt>
                <c:pt idx="5">
                  <c:v>322.14</c:v>
                </c:pt>
                <c:pt idx="6">
                  <c:v>187.48999999999998</c:v>
                </c:pt>
                <c:pt idx="7">
                  <c:v>220.14</c:v>
                </c:pt>
                <c:pt idx="8">
                  <c:v>168.29</c:v>
                </c:pt>
                <c:pt idx="9">
                  <c:v>42.25</c:v>
                </c:pt>
                <c:pt idx="10">
                  <c:v>0</c:v>
                </c:pt>
                <c:pt idx="11">
                  <c:v>0</c:v>
                </c:pt>
              </c:numCache>
            </c:numRef>
          </c:val>
          <c:extLst>
            <c:ext xmlns:c16="http://schemas.microsoft.com/office/drawing/2014/chart" uri="{C3380CC4-5D6E-409C-BE32-E72D297353CC}">
              <c16:uniqueId val="{00000000-2889-4EB7-8DC2-E2F95E0D4D3E}"/>
            </c:ext>
          </c:extLst>
        </c:ser>
        <c:dLbls>
          <c:showLegendKey val="0"/>
          <c:showVal val="0"/>
          <c:showCatName val="0"/>
          <c:showSerName val="0"/>
          <c:showPercent val="0"/>
          <c:showBubbleSize val="0"/>
        </c:dLbls>
        <c:axId val="1237762400"/>
        <c:axId val="1237764720"/>
      </c:areaChart>
      <c:catAx>
        <c:axId val="1237762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37764720"/>
        <c:crosses val="autoZero"/>
        <c:auto val="1"/>
        <c:lblAlgn val="ctr"/>
        <c:lblOffset val="100"/>
        <c:noMultiLvlLbl val="0"/>
      </c:catAx>
      <c:valAx>
        <c:axId val="1237764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37762400"/>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Fordeling af træningstype</a:t>
            </a:r>
            <a:r>
              <a:rPr lang="da-DK" baseline="0"/>
              <a:t> 2</a:t>
            </a:r>
            <a:endParaRPr lang="da-DK"/>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lineChart>
        <c:grouping val="stacked"/>
        <c:varyColors val="0"/>
        <c:ser>
          <c:idx val="0"/>
          <c:order val="0"/>
          <c:spPr>
            <a:ln w="28575" cap="rnd">
              <a:solidFill>
                <a:schemeClr val="accent1"/>
              </a:solidFill>
              <a:round/>
            </a:ln>
            <a:effectLst/>
          </c:spPr>
          <c:marker>
            <c:symbol val="none"/>
          </c:marker>
          <c:val>
            <c:numRef>
              <c:f>Skemaer!$D$6:$D$17</c:f>
              <c:numCache>
                <c:formatCode>0</c:formatCode>
                <c:ptCount val="12"/>
                <c:pt idx="0">
                  <c:v>56.230000000000004</c:v>
                </c:pt>
                <c:pt idx="1">
                  <c:v>69.349999999999994</c:v>
                </c:pt>
                <c:pt idx="2">
                  <c:v>82.44</c:v>
                </c:pt>
                <c:pt idx="3">
                  <c:v>122.80000000000001</c:v>
                </c:pt>
                <c:pt idx="4">
                  <c:v>33.57</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A792-4BAC-A356-9C83C227C5CB}"/>
            </c:ext>
          </c:extLst>
        </c:ser>
        <c:ser>
          <c:idx val="1"/>
          <c:order val="1"/>
          <c:spPr>
            <a:ln w="28575" cap="rnd">
              <a:solidFill>
                <a:schemeClr val="accent2"/>
              </a:solidFill>
              <a:round/>
            </a:ln>
            <a:effectLst/>
          </c:spPr>
          <c:marker>
            <c:symbol val="none"/>
          </c:marker>
          <c:val>
            <c:numRef>
              <c:f>Skemaer!$E$6:$E$17</c:f>
              <c:numCache>
                <c:formatCode>0</c:formatCode>
                <c:ptCount val="12"/>
                <c:pt idx="0">
                  <c:v>0</c:v>
                </c:pt>
                <c:pt idx="1">
                  <c:v>0</c:v>
                </c:pt>
                <c:pt idx="2">
                  <c:v>0</c:v>
                </c:pt>
                <c:pt idx="3">
                  <c:v>0</c:v>
                </c:pt>
                <c:pt idx="4">
                  <c:v>0</c:v>
                </c:pt>
                <c:pt idx="5">
                  <c:v>0</c:v>
                </c:pt>
                <c:pt idx="6">
                  <c:v>5.16</c:v>
                </c:pt>
                <c:pt idx="7">
                  <c:v>0</c:v>
                </c:pt>
                <c:pt idx="8">
                  <c:v>0</c:v>
                </c:pt>
                <c:pt idx="9">
                  <c:v>0</c:v>
                </c:pt>
                <c:pt idx="10">
                  <c:v>0</c:v>
                </c:pt>
                <c:pt idx="11">
                  <c:v>0</c:v>
                </c:pt>
              </c:numCache>
            </c:numRef>
          </c:val>
          <c:smooth val="0"/>
          <c:extLst>
            <c:ext xmlns:c16="http://schemas.microsoft.com/office/drawing/2014/chart" uri="{C3380CC4-5D6E-409C-BE32-E72D297353CC}">
              <c16:uniqueId val="{00000001-A792-4BAC-A356-9C83C227C5CB}"/>
            </c:ext>
          </c:extLst>
        </c:ser>
        <c:ser>
          <c:idx val="2"/>
          <c:order val="2"/>
          <c:spPr>
            <a:ln w="28575" cap="rnd">
              <a:solidFill>
                <a:schemeClr val="accent3"/>
              </a:solidFill>
              <a:round/>
            </a:ln>
            <a:effectLst/>
          </c:spPr>
          <c:marker>
            <c:symbol val="none"/>
          </c:marker>
          <c:val>
            <c:numRef>
              <c:f>Skemaer!$F$6:$F$17</c:f>
              <c:numCache>
                <c:formatCode>0</c:formatCode>
                <c:ptCount val="12"/>
                <c:pt idx="0">
                  <c:v>62.24</c:v>
                </c:pt>
                <c:pt idx="1">
                  <c:v>20.740000000000002</c:v>
                </c:pt>
                <c:pt idx="2">
                  <c:v>0</c:v>
                </c:pt>
                <c:pt idx="3">
                  <c:v>8.94</c:v>
                </c:pt>
                <c:pt idx="4">
                  <c:v>52.29</c:v>
                </c:pt>
                <c:pt idx="5">
                  <c:v>24.3</c:v>
                </c:pt>
                <c:pt idx="6">
                  <c:v>12.23</c:v>
                </c:pt>
                <c:pt idx="7">
                  <c:v>50.05</c:v>
                </c:pt>
                <c:pt idx="8">
                  <c:v>19.03</c:v>
                </c:pt>
                <c:pt idx="9">
                  <c:v>0</c:v>
                </c:pt>
                <c:pt idx="10">
                  <c:v>0</c:v>
                </c:pt>
                <c:pt idx="11">
                  <c:v>0</c:v>
                </c:pt>
              </c:numCache>
            </c:numRef>
          </c:val>
          <c:smooth val="0"/>
          <c:extLst>
            <c:ext xmlns:c16="http://schemas.microsoft.com/office/drawing/2014/chart" uri="{C3380CC4-5D6E-409C-BE32-E72D297353CC}">
              <c16:uniqueId val="{00000002-A792-4BAC-A356-9C83C227C5CB}"/>
            </c:ext>
          </c:extLst>
        </c:ser>
        <c:ser>
          <c:idx val="3"/>
          <c:order val="3"/>
          <c:spPr>
            <a:ln w="28575" cap="rnd">
              <a:solidFill>
                <a:schemeClr val="accent4"/>
              </a:solidFill>
              <a:round/>
            </a:ln>
            <a:effectLst/>
          </c:spPr>
          <c:marker>
            <c:symbol val="none"/>
          </c:marker>
          <c:val>
            <c:numRef>
              <c:f>Skemaer!$G$6:$G$17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A792-4BAC-A356-9C83C227C5CB}"/>
            </c:ext>
          </c:extLst>
        </c:ser>
        <c:ser>
          <c:idx val="4"/>
          <c:order val="4"/>
          <c:spPr>
            <a:ln w="28575" cap="rnd">
              <a:solidFill>
                <a:schemeClr val="accent5"/>
              </a:solidFill>
              <a:round/>
            </a:ln>
            <a:effectLst/>
          </c:spPr>
          <c:marker>
            <c:symbol val="none"/>
          </c:marker>
          <c:val>
            <c:numRef>
              <c:f>Skemaer!$H$6:$H$17</c:f>
              <c:numCache>
                <c:formatCode>0</c:formatCode>
                <c:ptCount val="12"/>
                <c:pt idx="0">
                  <c:v>94.84</c:v>
                </c:pt>
                <c:pt idx="1">
                  <c:v>142.61000000000001</c:v>
                </c:pt>
                <c:pt idx="2">
                  <c:v>84.57</c:v>
                </c:pt>
                <c:pt idx="3">
                  <c:v>84.77</c:v>
                </c:pt>
                <c:pt idx="4">
                  <c:v>84.9</c:v>
                </c:pt>
                <c:pt idx="5">
                  <c:v>297.83999999999997</c:v>
                </c:pt>
                <c:pt idx="6">
                  <c:v>170.1</c:v>
                </c:pt>
                <c:pt idx="7">
                  <c:v>170.09</c:v>
                </c:pt>
                <c:pt idx="8">
                  <c:v>149.26</c:v>
                </c:pt>
                <c:pt idx="9">
                  <c:v>42.25</c:v>
                </c:pt>
                <c:pt idx="10">
                  <c:v>0</c:v>
                </c:pt>
                <c:pt idx="11">
                  <c:v>0</c:v>
                </c:pt>
              </c:numCache>
            </c:numRef>
          </c:val>
          <c:smooth val="0"/>
          <c:extLst>
            <c:ext xmlns:c16="http://schemas.microsoft.com/office/drawing/2014/chart" uri="{C3380CC4-5D6E-409C-BE32-E72D297353CC}">
              <c16:uniqueId val="{00000004-A792-4BAC-A356-9C83C227C5CB}"/>
            </c:ext>
          </c:extLst>
        </c:ser>
        <c:dLbls>
          <c:showLegendKey val="0"/>
          <c:showVal val="0"/>
          <c:showCatName val="0"/>
          <c:showSerName val="0"/>
          <c:showPercent val="0"/>
          <c:showBubbleSize val="0"/>
        </c:dLbls>
        <c:smooth val="0"/>
        <c:axId val="1146793632"/>
        <c:axId val="1146796384"/>
      </c:lineChart>
      <c:catAx>
        <c:axId val="11467936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46796384"/>
        <c:crosses val="autoZero"/>
        <c:auto val="1"/>
        <c:lblAlgn val="ctr"/>
        <c:lblOffset val="100"/>
        <c:noMultiLvlLbl val="0"/>
      </c:catAx>
      <c:valAx>
        <c:axId val="1146796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46793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Skemaer!$D$5</c:f>
              <c:strCache>
                <c:ptCount val="1"/>
                <c:pt idx="0">
                  <c:v>D</c:v>
                </c:pt>
              </c:strCache>
            </c:strRef>
          </c:tx>
          <c:spPr>
            <a:solidFill>
              <a:schemeClr val="accent1"/>
            </a:solidFill>
            <a:ln>
              <a:noFill/>
            </a:ln>
            <a:effectLst/>
          </c:spPr>
          <c:cat>
            <c:strRef>
              <c:f>Skemaer!$A$6:$A$17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Skemaer!$D$6:$D$17</c:f>
              <c:numCache>
                <c:formatCode>0</c:formatCode>
                <c:ptCount val="12"/>
                <c:pt idx="0">
                  <c:v>56.230000000000004</c:v>
                </c:pt>
                <c:pt idx="1">
                  <c:v>69.349999999999994</c:v>
                </c:pt>
                <c:pt idx="2">
                  <c:v>82.44</c:v>
                </c:pt>
                <c:pt idx="3">
                  <c:v>122.80000000000001</c:v>
                </c:pt>
                <c:pt idx="4">
                  <c:v>33.57</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B12-47F9-BF54-0A2F0F98FA1A}"/>
            </c:ext>
          </c:extLst>
        </c:ser>
        <c:ser>
          <c:idx val="1"/>
          <c:order val="1"/>
          <c:tx>
            <c:strRef>
              <c:f>Skemaer!$E$5</c:f>
              <c:strCache>
                <c:ptCount val="1"/>
                <c:pt idx="0">
                  <c:v>I</c:v>
                </c:pt>
              </c:strCache>
            </c:strRef>
          </c:tx>
          <c:spPr>
            <a:solidFill>
              <a:schemeClr val="accent2"/>
            </a:solidFill>
            <a:ln w="25400">
              <a:noFill/>
            </a:ln>
            <a:effectLst/>
          </c:spPr>
          <c:cat>
            <c:strRef>
              <c:f>Skemaer!$A$6:$A$17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Skemaer!$E$6:$E$17</c:f>
              <c:numCache>
                <c:formatCode>0</c:formatCode>
                <c:ptCount val="12"/>
                <c:pt idx="0">
                  <c:v>0</c:v>
                </c:pt>
                <c:pt idx="1">
                  <c:v>0</c:v>
                </c:pt>
                <c:pt idx="2">
                  <c:v>0</c:v>
                </c:pt>
                <c:pt idx="3">
                  <c:v>0</c:v>
                </c:pt>
                <c:pt idx="4">
                  <c:v>0</c:v>
                </c:pt>
                <c:pt idx="5">
                  <c:v>0</c:v>
                </c:pt>
                <c:pt idx="6">
                  <c:v>5.16</c:v>
                </c:pt>
                <c:pt idx="7">
                  <c:v>0</c:v>
                </c:pt>
                <c:pt idx="8">
                  <c:v>0</c:v>
                </c:pt>
                <c:pt idx="9">
                  <c:v>0</c:v>
                </c:pt>
                <c:pt idx="10">
                  <c:v>0</c:v>
                </c:pt>
                <c:pt idx="11">
                  <c:v>0</c:v>
                </c:pt>
              </c:numCache>
            </c:numRef>
          </c:val>
          <c:extLst>
            <c:ext xmlns:c16="http://schemas.microsoft.com/office/drawing/2014/chart" uri="{C3380CC4-5D6E-409C-BE32-E72D297353CC}">
              <c16:uniqueId val="{00000001-0B12-47F9-BF54-0A2F0F98FA1A}"/>
            </c:ext>
          </c:extLst>
        </c:ser>
        <c:ser>
          <c:idx val="2"/>
          <c:order val="2"/>
          <c:tx>
            <c:strRef>
              <c:f>Skemaer!$F$5</c:f>
              <c:strCache>
                <c:ptCount val="1"/>
                <c:pt idx="0">
                  <c:v>R</c:v>
                </c:pt>
              </c:strCache>
            </c:strRef>
          </c:tx>
          <c:spPr>
            <a:solidFill>
              <a:schemeClr val="accent3"/>
            </a:solidFill>
            <a:ln w="25400">
              <a:noFill/>
            </a:ln>
            <a:effectLst/>
          </c:spPr>
          <c:cat>
            <c:strRef>
              <c:f>Skemaer!$A$6:$A$17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Skemaer!$F$6:$F$17</c:f>
              <c:numCache>
                <c:formatCode>0</c:formatCode>
                <c:ptCount val="12"/>
                <c:pt idx="0">
                  <c:v>62.24</c:v>
                </c:pt>
                <c:pt idx="1">
                  <c:v>20.740000000000002</c:v>
                </c:pt>
                <c:pt idx="2">
                  <c:v>0</c:v>
                </c:pt>
                <c:pt idx="3">
                  <c:v>8.94</c:v>
                </c:pt>
                <c:pt idx="4">
                  <c:v>52.29</c:v>
                </c:pt>
                <c:pt idx="5">
                  <c:v>24.3</c:v>
                </c:pt>
                <c:pt idx="6">
                  <c:v>12.23</c:v>
                </c:pt>
                <c:pt idx="7">
                  <c:v>50.05</c:v>
                </c:pt>
                <c:pt idx="8">
                  <c:v>19.03</c:v>
                </c:pt>
                <c:pt idx="9">
                  <c:v>0</c:v>
                </c:pt>
                <c:pt idx="10">
                  <c:v>0</c:v>
                </c:pt>
                <c:pt idx="11">
                  <c:v>0</c:v>
                </c:pt>
              </c:numCache>
            </c:numRef>
          </c:val>
          <c:extLst>
            <c:ext xmlns:c16="http://schemas.microsoft.com/office/drawing/2014/chart" uri="{C3380CC4-5D6E-409C-BE32-E72D297353CC}">
              <c16:uniqueId val="{00000002-0B12-47F9-BF54-0A2F0F98FA1A}"/>
            </c:ext>
          </c:extLst>
        </c:ser>
        <c:ser>
          <c:idx val="3"/>
          <c:order val="3"/>
          <c:tx>
            <c:strRef>
              <c:f>Skemaer!$G$5</c:f>
              <c:strCache>
                <c:ptCount val="1"/>
                <c:pt idx="0">
                  <c:v>T</c:v>
                </c:pt>
              </c:strCache>
            </c:strRef>
          </c:tx>
          <c:spPr>
            <a:solidFill>
              <a:schemeClr val="accent4"/>
            </a:solidFill>
            <a:ln w="25400">
              <a:noFill/>
            </a:ln>
            <a:effectLst/>
          </c:spPr>
          <c:cat>
            <c:strRef>
              <c:f>Skemaer!$A$6:$A$17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Skemaer!$G$6:$G$17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0B12-47F9-BF54-0A2F0F98FA1A}"/>
            </c:ext>
          </c:extLst>
        </c:ser>
        <c:ser>
          <c:idx val="4"/>
          <c:order val="4"/>
          <c:tx>
            <c:strRef>
              <c:f>Skemaer!$H$5</c:f>
              <c:strCache>
                <c:ptCount val="1"/>
                <c:pt idx="0">
                  <c:v>K</c:v>
                </c:pt>
              </c:strCache>
            </c:strRef>
          </c:tx>
          <c:spPr>
            <a:solidFill>
              <a:schemeClr val="accent5"/>
            </a:solidFill>
            <a:ln w="25400">
              <a:noFill/>
            </a:ln>
            <a:effectLst/>
          </c:spPr>
          <c:cat>
            <c:strRef>
              <c:f>Skemaer!$A$6:$A$17</c:f>
              <c:strCache>
                <c:ptCount val="12"/>
                <c:pt idx="0">
                  <c:v>Januar</c:v>
                </c:pt>
                <c:pt idx="1">
                  <c:v>Februar</c:v>
                </c:pt>
                <c:pt idx="2">
                  <c:v>Marts</c:v>
                </c:pt>
                <c:pt idx="3">
                  <c:v>April</c:v>
                </c:pt>
                <c:pt idx="4">
                  <c:v>Maj</c:v>
                </c:pt>
                <c:pt idx="5">
                  <c:v>Juni</c:v>
                </c:pt>
                <c:pt idx="6">
                  <c:v>Juli</c:v>
                </c:pt>
                <c:pt idx="7">
                  <c:v>August</c:v>
                </c:pt>
                <c:pt idx="8">
                  <c:v>September</c:v>
                </c:pt>
                <c:pt idx="9">
                  <c:v>Oktober</c:v>
                </c:pt>
                <c:pt idx="10">
                  <c:v>November</c:v>
                </c:pt>
                <c:pt idx="11">
                  <c:v>December</c:v>
                </c:pt>
              </c:strCache>
            </c:strRef>
          </c:cat>
          <c:val>
            <c:numRef>
              <c:f>Skemaer!$H$6:$H$17</c:f>
              <c:numCache>
                <c:formatCode>0</c:formatCode>
                <c:ptCount val="12"/>
                <c:pt idx="0">
                  <c:v>94.84</c:v>
                </c:pt>
                <c:pt idx="1">
                  <c:v>142.61000000000001</c:v>
                </c:pt>
                <c:pt idx="2">
                  <c:v>84.57</c:v>
                </c:pt>
                <c:pt idx="3">
                  <c:v>84.77</c:v>
                </c:pt>
                <c:pt idx="4">
                  <c:v>84.9</c:v>
                </c:pt>
                <c:pt idx="5">
                  <c:v>297.83999999999997</c:v>
                </c:pt>
                <c:pt idx="6">
                  <c:v>170.1</c:v>
                </c:pt>
                <c:pt idx="7">
                  <c:v>170.09</c:v>
                </c:pt>
                <c:pt idx="8">
                  <c:v>149.26</c:v>
                </c:pt>
                <c:pt idx="9">
                  <c:v>42.25</c:v>
                </c:pt>
                <c:pt idx="10">
                  <c:v>0</c:v>
                </c:pt>
                <c:pt idx="11">
                  <c:v>0</c:v>
                </c:pt>
              </c:numCache>
            </c:numRef>
          </c:val>
          <c:extLst>
            <c:ext xmlns:c16="http://schemas.microsoft.com/office/drawing/2014/chart" uri="{C3380CC4-5D6E-409C-BE32-E72D297353CC}">
              <c16:uniqueId val="{00000004-0B12-47F9-BF54-0A2F0F98FA1A}"/>
            </c:ext>
          </c:extLst>
        </c:ser>
        <c:dLbls>
          <c:showLegendKey val="0"/>
          <c:showVal val="0"/>
          <c:showCatName val="0"/>
          <c:showSerName val="0"/>
          <c:showPercent val="0"/>
          <c:showBubbleSize val="0"/>
        </c:dLbls>
        <c:axId val="1148006048"/>
        <c:axId val="1148008368"/>
      </c:areaChart>
      <c:catAx>
        <c:axId val="1148006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48008368"/>
        <c:crosses val="autoZero"/>
        <c:auto val="1"/>
        <c:lblAlgn val="ctr"/>
        <c:lblOffset val="100"/>
        <c:noMultiLvlLbl val="0"/>
      </c:catAx>
      <c:valAx>
        <c:axId val="11480083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48006048"/>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spPr>
            <a:solidFill>
              <a:schemeClr val="accent1"/>
            </a:solidFill>
            <a:ln w="25400">
              <a:noFill/>
            </a:ln>
            <a:effectLst/>
          </c:spPr>
          <c:cat>
            <c:numRef>
              <c:f>Skemaer!$R$5:$BR$5</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Skemaer!$R$6:$BR$6</c:f>
              <c:numCache>
                <c:formatCode>0;\-0;;@</c:formatCode>
                <c:ptCount val="53"/>
                <c:pt idx="0">
                  <c:v>0</c:v>
                </c:pt>
                <c:pt idx="1">
                  <c:v>16.03</c:v>
                </c:pt>
                <c:pt idx="2">
                  <c:v>19.100000000000001</c:v>
                </c:pt>
                <c:pt idx="3">
                  <c:v>0</c:v>
                </c:pt>
                <c:pt idx="4">
                  <c:v>21.1</c:v>
                </c:pt>
                <c:pt idx="5">
                  <c:v>23.15</c:v>
                </c:pt>
                <c:pt idx="6">
                  <c:v>22.08</c:v>
                </c:pt>
                <c:pt idx="7">
                  <c:v>24.12</c:v>
                </c:pt>
                <c:pt idx="8">
                  <c:v>0</c:v>
                </c:pt>
                <c:pt idx="9">
                  <c:v>24.47</c:v>
                </c:pt>
                <c:pt idx="10">
                  <c:v>10.050000000000001</c:v>
                </c:pt>
                <c:pt idx="11">
                  <c:v>21.66</c:v>
                </c:pt>
                <c:pt idx="12">
                  <c:v>26.26</c:v>
                </c:pt>
                <c:pt idx="13">
                  <c:v>28.01</c:v>
                </c:pt>
                <c:pt idx="14">
                  <c:v>23.01</c:v>
                </c:pt>
                <c:pt idx="15">
                  <c:v>21.75</c:v>
                </c:pt>
                <c:pt idx="16">
                  <c:v>29.47</c:v>
                </c:pt>
                <c:pt idx="17">
                  <c:v>20.56</c:v>
                </c:pt>
                <c:pt idx="18">
                  <c:v>24.3</c:v>
                </c:pt>
                <c:pt idx="19">
                  <c:v>0</c:v>
                </c:pt>
                <c:pt idx="20">
                  <c:v>0</c:v>
                </c:pt>
                <c:pt idx="21">
                  <c:v>9.27</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0-79FB-4E79-9D44-4AC452518BE4}"/>
            </c:ext>
          </c:extLst>
        </c:ser>
        <c:ser>
          <c:idx val="1"/>
          <c:order val="1"/>
          <c:spPr>
            <a:solidFill>
              <a:schemeClr val="accent2"/>
            </a:solidFill>
            <a:ln w="25400">
              <a:noFill/>
            </a:ln>
            <a:effectLst/>
          </c:spPr>
          <c:cat>
            <c:numRef>
              <c:f>Skemaer!$R$5:$BR$5</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Skemaer!$R$7:$BR$7</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5.16</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1-79FB-4E79-9D44-4AC452518BE4}"/>
            </c:ext>
          </c:extLst>
        </c:ser>
        <c:ser>
          <c:idx val="2"/>
          <c:order val="2"/>
          <c:spPr>
            <a:solidFill>
              <a:schemeClr val="accent3"/>
            </a:solidFill>
            <a:ln w="25400">
              <a:noFill/>
            </a:ln>
            <a:effectLst/>
          </c:spPr>
          <c:cat>
            <c:numRef>
              <c:f>Skemaer!$R$5:$BR$5</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Skemaer!$R$8:$BR$8</c:f>
              <c:numCache>
                <c:formatCode>0;\-0;;@</c:formatCode>
                <c:ptCount val="53"/>
                <c:pt idx="0">
                  <c:v>0</c:v>
                </c:pt>
                <c:pt idx="1">
                  <c:v>20.28</c:v>
                </c:pt>
                <c:pt idx="2">
                  <c:v>10.25</c:v>
                </c:pt>
                <c:pt idx="3">
                  <c:v>0</c:v>
                </c:pt>
                <c:pt idx="4">
                  <c:v>20.700000000000003</c:v>
                </c:pt>
                <c:pt idx="5">
                  <c:v>11.01</c:v>
                </c:pt>
                <c:pt idx="6">
                  <c:v>10.39</c:v>
                </c:pt>
                <c:pt idx="7">
                  <c:v>0</c:v>
                </c:pt>
                <c:pt idx="8">
                  <c:v>10.35</c:v>
                </c:pt>
                <c:pt idx="9">
                  <c:v>0</c:v>
                </c:pt>
                <c:pt idx="10">
                  <c:v>0</c:v>
                </c:pt>
                <c:pt idx="11">
                  <c:v>0</c:v>
                </c:pt>
                <c:pt idx="12">
                  <c:v>0</c:v>
                </c:pt>
                <c:pt idx="13">
                  <c:v>0</c:v>
                </c:pt>
                <c:pt idx="14">
                  <c:v>0</c:v>
                </c:pt>
                <c:pt idx="15">
                  <c:v>0</c:v>
                </c:pt>
                <c:pt idx="16">
                  <c:v>8.94</c:v>
                </c:pt>
                <c:pt idx="17">
                  <c:v>0</c:v>
                </c:pt>
                <c:pt idx="18">
                  <c:v>0</c:v>
                </c:pt>
                <c:pt idx="19">
                  <c:v>35.86</c:v>
                </c:pt>
                <c:pt idx="20">
                  <c:v>6.3</c:v>
                </c:pt>
                <c:pt idx="21">
                  <c:v>0</c:v>
                </c:pt>
                <c:pt idx="22">
                  <c:v>10.130000000000001</c:v>
                </c:pt>
                <c:pt idx="23">
                  <c:v>5.54</c:v>
                </c:pt>
                <c:pt idx="24">
                  <c:v>5.19</c:v>
                </c:pt>
                <c:pt idx="25">
                  <c:v>0</c:v>
                </c:pt>
                <c:pt idx="26">
                  <c:v>13.57</c:v>
                </c:pt>
                <c:pt idx="27">
                  <c:v>0</c:v>
                </c:pt>
                <c:pt idx="28">
                  <c:v>7.01</c:v>
                </c:pt>
                <c:pt idx="29">
                  <c:v>5.22</c:v>
                </c:pt>
                <c:pt idx="30">
                  <c:v>0</c:v>
                </c:pt>
                <c:pt idx="31">
                  <c:v>30.13</c:v>
                </c:pt>
                <c:pt idx="32">
                  <c:v>0</c:v>
                </c:pt>
                <c:pt idx="33">
                  <c:v>19.919999999999998</c:v>
                </c:pt>
                <c:pt idx="34">
                  <c:v>0</c:v>
                </c:pt>
                <c:pt idx="35">
                  <c:v>0</c:v>
                </c:pt>
                <c:pt idx="36">
                  <c:v>8.4600000000000009</c:v>
                </c:pt>
                <c:pt idx="37">
                  <c:v>4.08</c:v>
                </c:pt>
                <c:pt idx="38">
                  <c:v>0</c:v>
                </c:pt>
                <c:pt idx="39">
                  <c:v>6.49</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2-79FB-4E79-9D44-4AC452518BE4}"/>
            </c:ext>
          </c:extLst>
        </c:ser>
        <c:ser>
          <c:idx val="3"/>
          <c:order val="3"/>
          <c:spPr>
            <a:solidFill>
              <a:schemeClr val="accent4"/>
            </a:solidFill>
            <a:ln w="25400">
              <a:noFill/>
            </a:ln>
            <a:effectLst/>
          </c:spPr>
          <c:cat>
            <c:numRef>
              <c:f>Skemaer!$R$5:$BR$5</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Skemaer!$R$9:$BR$9</c:f>
              <c:numCache>
                <c:formatCode>0;\-0;;@</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3-79FB-4E79-9D44-4AC452518BE4}"/>
            </c:ext>
          </c:extLst>
        </c:ser>
        <c:ser>
          <c:idx val="4"/>
          <c:order val="4"/>
          <c:spPr>
            <a:solidFill>
              <a:schemeClr val="accent5"/>
            </a:solidFill>
            <a:ln w="25400">
              <a:noFill/>
            </a:ln>
            <a:effectLst/>
          </c:spPr>
          <c:cat>
            <c:numRef>
              <c:f>Skemaer!$R$5:$BR$5</c:f>
              <c:numCache>
                <c:formatCode>General</c:formatCode>
                <c:ptCount val="5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numCache>
            </c:numRef>
          </c:cat>
          <c:val>
            <c:numRef>
              <c:f>Skemaer!$R$10:$BR$10</c:f>
              <c:numCache>
                <c:formatCode>0;\-0;;@</c:formatCode>
                <c:ptCount val="53"/>
                <c:pt idx="0">
                  <c:v>0</c:v>
                </c:pt>
                <c:pt idx="1">
                  <c:v>0</c:v>
                </c:pt>
                <c:pt idx="2">
                  <c:v>42.22</c:v>
                </c:pt>
                <c:pt idx="3">
                  <c:v>52.620000000000005</c:v>
                </c:pt>
                <c:pt idx="4">
                  <c:v>0</c:v>
                </c:pt>
                <c:pt idx="5">
                  <c:v>42.45</c:v>
                </c:pt>
                <c:pt idx="6">
                  <c:v>0</c:v>
                </c:pt>
                <c:pt idx="7">
                  <c:v>42.33</c:v>
                </c:pt>
                <c:pt idx="8">
                  <c:v>57.83</c:v>
                </c:pt>
                <c:pt idx="9">
                  <c:v>42.3</c:v>
                </c:pt>
                <c:pt idx="10">
                  <c:v>0</c:v>
                </c:pt>
                <c:pt idx="11">
                  <c:v>0</c:v>
                </c:pt>
                <c:pt idx="12">
                  <c:v>0</c:v>
                </c:pt>
                <c:pt idx="13">
                  <c:v>42.27</c:v>
                </c:pt>
                <c:pt idx="14">
                  <c:v>42.23</c:v>
                </c:pt>
                <c:pt idx="15">
                  <c:v>0</c:v>
                </c:pt>
                <c:pt idx="16">
                  <c:v>0</c:v>
                </c:pt>
                <c:pt idx="17">
                  <c:v>42.54</c:v>
                </c:pt>
                <c:pt idx="18">
                  <c:v>42.2</c:v>
                </c:pt>
                <c:pt idx="19">
                  <c:v>0</c:v>
                </c:pt>
                <c:pt idx="20">
                  <c:v>0</c:v>
                </c:pt>
                <c:pt idx="21">
                  <c:v>42.7</c:v>
                </c:pt>
                <c:pt idx="22">
                  <c:v>42.83</c:v>
                </c:pt>
                <c:pt idx="23">
                  <c:v>85.300000000000011</c:v>
                </c:pt>
                <c:pt idx="24">
                  <c:v>42.46</c:v>
                </c:pt>
                <c:pt idx="25">
                  <c:v>84.789999999999992</c:v>
                </c:pt>
                <c:pt idx="26">
                  <c:v>84.87</c:v>
                </c:pt>
                <c:pt idx="27">
                  <c:v>0</c:v>
                </c:pt>
                <c:pt idx="28">
                  <c:v>0</c:v>
                </c:pt>
                <c:pt idx="29">
                  <c:v>42.56</c:v>
                </c:pt>
                <c:pt idx="30">
                  <c:v>85.13</c:v>
                </c:pt>
                <c:pt idx="31">
                  <c:v>0</c:v>
                </c:pt>
                <c:pt idx="32">
                  <c:v>84.87</c:v>
                </c:pt>
                <c:pt idx="33">
                  <c:v>0</c:v>
                </c:pt>
                <c:pt idx="34">
                  <c:v>85.22</c:v>
                </c:pt>
                <c:pt idx="35">
                  <c:v>42.22</c:v>
                </c:pt>
                <c:pt idx="36">
                  <c:v>0</c:v>
                </c:pt>
                <c:pt idx="37">
                  <c:v>21.95</c:v>
                </c:pt>
                <c:pt idx="38">
                  <c:v>85.09</c:v>
                </c:pt>
                <c:pt idx="39">
                  <c:v>0</c:v>
                </c:pt>
                <c:pt idx="40">
                  <c:v>42.25</c:v>
                </c:pt>
                <c:pt idx="41">
                  <c:v>0</c:v>
                </c:pt>
                <c:pt idx="42">
                  <c:v>0</c:v>
                </c:pt>
                <c:pt idx="43">
                  <c:v>0</c:v>
                </c:pt>
                <c:pt idx="44">
                  <c:v>0</c:v>
                </c:pt>
                <c:pt idx="45">
                  <c:v>0</c:v>
                </c:pt>
                <c:pt idx="46">
                  <c:v>0</c:v>
                </c:pt>
                <c:pt idx="47">
                  <c:v>0</c:v>
                </c:pt>
                <c:pt idx="48">
                  <c:v>0</c:v>
                </c:pt>
                <c:pt idx="49">
                  <c:v>0</c:v>
                </c:pt>
                <c:pt idx="50">
                  <c:v>0</c:v>
                </c:pt>
                <c:pt idx="51">
                  <c:v>0</c:v>
                </c:pt>
                <c:pt idx="52">
                  <c:v>0</c:v>
                </c:pt>
              </c:numCache>
            </c:numRef>
          </c:val>
          <c:extLst>
            <c:ext xmlns:c16="http://schemas.microsoft.com/office/drawing/2014/chart" uri="{C3380CC4-5D6E-409C-BE32-E72D297353CC}">
              <c16:uniqueId val="{00000004-79FB-4E79-9D44-4AC452518BE4}"/>
            </c:ext>
          </c:extLst>
        </c:ser>
        <c:dLbls>
          <c:showLegendKey val="0"/>
          <c:showVal val="0"/>
          <c:showCatName val="0"/>
          <c:showSerName val="0"/>
          <c:showPercent val="0"/>
          <c:showBubbleSize val="0"/>
        </c:dLbls>
        <c:axId val="1146824848"/>
        <c:axId val="1146827600"/>
      </c:areaChart>
      <c:catAx>
        <c:axId val="11468248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46827600"/>
        <c:crosses val="autoZero"/>
        <c:auto val="1"/>
        <c:lblAlgn val="ctr"/>
        <c:lblOffset val="100"/>
        <c:noMultiLvlLbl val="0"/>
      </c:catAx>
      <c:valAx>
        <c:axId val="114682760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146824848"/>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137582</xdr:colOff>
      <xdr:row>17</xdr:row>
      <xdr:rowOff>67735</xdr:rowOff>
    </xdr:from>
    <xdr:to>
      <xdr:col>9</xdr:col>
      <xdr:colOff>571499</xdr:colOff>
      <xdr:row>30</xdr:row>
      <xdr:rowOff>196851</xdr:rowOff>
    </xdr:to>
    <xdr:graphicFrame macro="">
      <xdr:nvGraphicFramePr>
        <xdr:cNvPr id="2" name="Diagram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666750</xdr:colOff>
      <xdr:row>3</xdr:row>
      <xdr:rowOff>57147</xdr:rowOff>
    </xdr:from>
    <xdr:to>
      <xdr:col>15</xdr:col>
      <xdr:colOff>285750</xdr:colOff>
      <xdr:row>16</xdr:row>
      <xdr:rowOff>175680</xdr:rowOff>
    </xdr:to>
    <xdr:graphicFrame macro="">
      <xdr:nvGraphicFramePr>
        <xdr:cNvPr id="10" name="Diagram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137582</xdr:colOff>
      <xdr:row>3</xdr:row>
      <xdr:rowOff>46565</xdr:rowOff>
    </xdr:from>
    <xdr:to>
      <xdr:col>9</xdr:col>
      <xdr:colOff>571499</xdr:colOff>
      <xdr:row>16</xdr:row>
      <xdr:rowOff>165098</xdr:rowOff>
    </xdr:to>
    <xdr:graphicFrame macro="">
      <xdr:nvGraphicFramePr>
        <xdr:cNvPr id="13" name="Diagram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661051</xdr:colOff>
      <xdr:row>17</xdr:row>
      <xdr:rowOff>78317</xdr:rowOff>
    </xdr:from>
    <xdr:to>
      <xdr:col>15</xdr:col>
      <xdr:colOff>280051</xdr:colOff>
      <xdr:row>31</xdr:row>
      <xdr:rowOff>6350</xdr:rowOff>
    </xdr:to>
    <xdr:graphicFrame macro="">
      <xdr:nvGraphicFramePr>
        <xdr:cNvPr id="3" name="Diagram 1">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647700</xdr:colOff>
      <xdr:row>3</xdr:row>
      <xdr:rowOff>78317</xdr:rowOff>
    </xdr:from>
    <xdr:to>
      <xdr:col>20</xdr:col>
      <xdr:colOff>606426</xdr:colOff>
      <xdr:row>8</xdr:row>
      <xdr:rowOff>141954</xdr:rowOff>
    </xdr:to>
    <xdr:grpSp>
      <xdr:nvGrpSpPr>
        <xdr:cNvPr id="12" name="BMI Tip" descr="BMI tip with information" title="Shape">
          <a:extLst>
            <a:ext uri="{FF2B5EF4-FFF2-40B4-BE49-F238E27FC236}">
              <a16:creationId xmlns:a16="http://schemas.microsoft.com/office/drawing/2014/main" id="{00000000-0008-0000-0000-00000C000000}"/>
            </a:ext>
          </a:extLst>
        </xdr:cNvPr>
        <xdr:cNvGrpSpPr/>
      </xdr:nvGrpSpPr>
      <xdr:grpSpPr>
        <a:xfrm>
          <a:off x="10111740" y="1084157"/>
          <a:ext cx="4073526" cy="1130437"/>
          <a:chOff x="2914649" y="1047750"/>
          <a:chExt cx="4238626" cy="790575"/>
        </a:xfrm>
      </xdr:grpSpPr>
      <xdr:grpSp>
        <xdr:nvGrpSpPr>
          <xdr:cNvPr id="14" name="Group 3">
            <a:extLst>
              <a:ext uri="{FF2B5EF4-FFF2-40B4-BE49-F238E27FC236}">
                <a16:creationId xmlns:a16="http://schemas.microsoft.com/office/drawing/2014/main" id="{00000000-0008-0000-0000-00000E000000}"/>
              </a:ext>
            </a:extLst>
          </xdr:cNvPr>
          <xdr:cNvGrpSpPr>
            <a:grpSpLocks noChangeAspect="1"/>
          </xdr:cNvGrpSpPr>
        </xdr:nvGrpSpPr>
        <xdr:grpSpPr bwMode="auto">
          <a:xfrm>
            <a:off x="2933700" y="1181100"/>
            <a:ext cx="276225" cy="171450"/>
            <a:chOff x="348" y="244"/>
            <a:chExt cx="29" cy="18"/>
          </a:xfrm>
        </xdr:grpSpPr>
        <xdr:sp macro="" textlink="">
          <xdr:nvSpPr>
            <xdr:cNvPr id="16" name="Freeform 6">
              <a:extLst>
                <a:ext uri="{FF2B5EF4-FFF2-40B4-BE49-F238E27FC236}">
                  <a16:creationId xmlns:a16="http://schemas.microsoft.com/office/drawing/2014/main" id="{00000000-0008-0000-0000-000010000000}"/>
                </a:ext>
              </a:extLst>
            </xdr:cNvPr>
            <xdr:cNvSpPr>
              <a:spLocks noChangeAspect="1"/>
            </xdr:cNvSpPr>
          </xdr:nvSpPr>
          <xdr:spPr bwMode="auto">
            <a:xfrm>
              <a:off x="357" y="250"/>
              <a:ext cx="10" cy="8"/>
            </a:xfrm>
            <a:custGeom>
              <a:avLst/>
              <a:gdLst>
                <a:gd name="T0" fmla="*/ 142 w 809"/>
                <a:gd name="T1" fmla="*/ 0 h 1402"/>
                <a:gd name="T2" fmla="*/ 488 w 809"/>
                <a:gd name="T3" fmla="*/ 0 h 1402"/>
                <a:gd name="T4" fmla="*/ 488 w 809"/>
                <a:gd name="T5" fmla="*/ 307 h 1402"/>
                <a:gd name="T6" fmla="*/ 809 w 809"/>
                <a:gd name="T7" fmla="*/ 307 h 1402"/>
                <a:gd name="T8" fmla="*/ 809 w 809"/>
                <a:gd name="T9" fmla="*/ 541 h 1402"/>
                <a:gd name="T10" fmla="*/ 488 w 809"/>
                <a:gd name="T11" fmla="*/ 541 h 1402"/>
                <a:gd name="T12" fmla="*/ 488 w 809"/>
                <a:gd name="T13" fmla="*/ 922 h 1402"/>
                <a:gd name="T14" fmla="*/ 488 w 809"/>
                <a:gd name="T15" fmla="*/ 957 h 1402"/>
                <a:gd name="T16" fmla="*/ 488 w 809"/>
                <a:gd name="T17" fmla="*/ 991 h 1402"/>
                <a:gd name="T18" fmla="*/ 488 w 809"/>
                <a:gd name="T19" fmla="*/ 1021 h 1402"/>
                <a:gd name="T20" fmla="*/ 490 w 809"/>
                <a:gd name="T21" fmla="*/ 1048 h 1402"/>
                <a:gd name="T22" fmla="*/ 495 w 809"/>
                <a:gd name="T23" fmla="*/ 1073 h 1402"/>
                <a:gd name="T24" fmla="*/ 503 w 809"/>
                <a:gd name="T25" fmla="*/ 1096 h 1402"/>
                <a:gd name="T26" fmla="*/ 515 w 809"/>
                <a:gd name="T27" fmla="*/ 1117 h 1402"/>
                <a:gd name="T28" fmla="*/ 530 w 809"/>
                <a:gd name="T29" fmla="*/ 1134 h 1402"/>
                <a:gd name="T30" fmla="*/ 550 w 809"/>
                <a:gd name="T31" fmla="*/ 1149 h 1402"/>
                <a:gd name="T32" fmla="*/ 569 w 809"/>
                <a:gd name="T33" fmla="*/ 1158 h 1402"/>
                <a:gd name="T34" fmla="*/ 592 w 809"/>
                <a:gd name="T35" fmla="*/ 1164 h 1402"/>
                <a:gd name="T36" fmla="*/ 618 w 809"/>
                <a:gd name="T37" fmla="*/ 1168 h 1402"/>
                <a:gd name="T38" fmla="*/ 649 w 809"/>
                <a:gd name="T39" fmla="*/ 1169 h 1402"/>
                <a:gd name="T40" fmla="*/ 669 w 809"/>
                <a:gd name="T41" fmla="*/ 1168 h 1402"/>
                <a:gd name="T42" fmla="*/ 692 w 809"/>
                <a:gd name="T43" fmla="*/ 1164 h 1402"/>
                <a:gd name="T44" fmla="*/ 719 w 809"/>
                <a:gd name="T45" fmla="*/ 1158 h 1402"/>
                <a:gd name="T46" fmla="*/ 745 w 809"/>
                <a:gd name="T47" fmla="*/ 1150 h 1402"/>
                <a:gd name="T48" fmla="*/ 765 w 809"/>
                <a:gd name="T49" fmla="*/ 1143 h 1402"/>
                <a:gd name="T50" fmla="*/ 779 w 809"/>
                <a:gd name="T51" fmla="*/ 1136 h 1402"/>
                <a:gd name="T52" fmla="*/ 809 w 809"/>
                <a:gd name="T53" fmla="*/ 1136 h 1402"/>
                <a:gd name="T54" fmla="*/ 809 w 809"/>
                <a:gd name="T55" fmla="*/ 1372 h 1402"/>
                <a:gd name="T56" fmla="*/ 751 w 809"/>
                <a:gd name="T57" fmla="*/ 1385 h 1402"/>
                <a:gd name="T58" fmla="*/ 691 w 809"/>
                <a:gd name="T59" fmla="*/ 1394 h 1402"/>
                <a:gd name="T60" fmla="*/ 658 w 809"/>
                <a:gd name="T61" fmla="*/ 1398 h 1402"/>
                <a:gd name="T62" fmla="*/ 622 w 809"/>
                <a:gd name="T63" fmla="*/ 1400 h 1402"/>
                <a:gd name="T64" fmla="*/ 582 w 809"/>
                <a:gd name="T65" fmla="*/ 1402 h 1402"/>
                <a:gd name="T66" fmla="*/ 538 w 809"/>
                <a:gd name="T67" fmla="*/ 1402 h 1402"/>
                <a:gd name="T68" fmla="*/ 484 w 809"/>
                <a:gd name="T69" fmla="*/ 1401 h 1402"/>
                <a:gd name="T70" fmla="*/ 432 w 809"/>
                <a:gd name="T71" fmla="*/ 1396 h 1402"/>
                <a:gd name="T72" fmla="*/ 385 w 809"/>
                <a:gd name="T73" fmla="*/ 1388 h 1402"/>
                <a:gd name="T74" fmla="*/ 343 w 809"/>
                <a:gd name="T75" fmla="*/ 1376 h 1402"/>
                <a:gd name="T76" fmla="*/ 305 w 809"/>
                <a:gd name="T77" fmla="*/ 1361 h 1402"/>
                <a:gd name="T78" fmla="*/ 269 w 809"/>
                <a:gd name="T79" fmla="*/ 1343 h 1402"/>
                <a:gd name="T80" fmla="*/ 239 w 809"/>
                <a:gd name="T81" fmla="*/ 1321 h 1402"/>
                <a:gd name="T82" fmla="*/ 216 w 809"/>
                <a:gd name="T83" fmla="*/ 1298 h 1402"/>
                <a:gd name="T84" fmla="*/ 197 w 809"/>
                <a:gd name="T85" fmla="*/ 1273 h 1402"/>
                <a:gd name="T86" fmla="*/ 180 w 809"/>
                <a:gd name="T87" fmla="*/ 1244 h 1402"/>
                <a:gd name="T88" fmla="*/ 166 w 809"/>
                <a:gd name="T89" fmla="*/ 1211 h 1402"/>
                <a:gd name="T90" fmla="*/ 156 w 809"/>
                <a:gd name="T91" fmla="*/ 1174 h 1402"/>
                <a:gd name="T92" fmla="*/ 148 w 809"/>
                <a:gd name="T93" fmla="*/ 1134 h 1402"/>
                <a:gd name="T94" fmla="*/ 143 w 809"/>
                <a:gd name="T95" fmla="*/ 1090 h 1402"/>
                <a:gd name="T96" fmla="*/ 142 w 809"/>
                <a:gd name="T97" fmla="*/ 1043 h 1402"/>
                <a:gd name="T98" fmla="*/ 142 w 809"/>
                <a:gd name="T99" fmla="*/ 541 h 1402"/>
                <a:gd name="T100" fmla="*/ 0 w 809"/>
                <a:gd name="T101" fmla="*/ 541 h 1402"/>
                <a:gd name="T102" fmla="*/ 0 w 809"/>
                <a:gd name="T103" fmla="*/ 307 h 1402"/>
                <a:gd name="T104" fmla="*/ 142 w 809"/>
                <a:gd name="T105" fmla="*/ 307 h 1402"/>
                <a:gd name="T106" fmla="*/ 142 w 809"/>
                <a:gd name="T107" fmla="*/ 0 h 140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809" h="1402">
                  <a:moveTo>
                    <a:pt x="142" y="0"/>
                  </a:moveTo>
                  <a:lnTo>
                    <a:pt x="488" y="0"/>
                  </a:lnTo>
                  <a:lnTo>
                    <a:pt x="488" y="307"/>
                  </a:lnTo>
                  <a:lnTo>
                    <a:pt x="809" y="307"/>
                  </a:lnTo>
                  <a:lnTo>
                    <a:pt x="809" y="541"/>
                  </a:lnTo>
                  <a:lnTo>
                    <a:pt x="488" y="541"/>
                  </a:lnTo>
                  <a:lnTo>
                    <a:pt x="488" y="922"/>
                  </a:lnTo>
                  <a:lnTo>
                    <a:pt x="488" y="957"/>
                  </a:lnTo>
                  <a:lnTo>
                    <a:pt x="488" y="991"/>
                  </a:lnTo>
                  <a:lnTo>
                    <a:pt x="488" y="1021"/>
                  </a:lnTo>
                  <a:lnTo>
                    <a:pt x="490" y="1048"/>
                  </a:lnTo>
                  <a:lnTo>
                    <a:pt x="495" y="1073"/>
                  </a:lnTo>
                  <a:lnTo>
                    <a:pt x="503" y="1096"/>
                  </a:lnTo>
                  <a:lnTo>
                    <a:pt x="515" y="1117"/>
                  </a:lnTo>
                  <a:lnTo>
                    <a:pt x="530" y="1134"/>
                  </a:lnTo>
                  <a:lnTo>
                    <a:pt x="550" y="1149"/>
                  </a:lnTo>
                  <a:lnTo>
                    <a:pt x="569" y="1158"/>
                  </a:lnTo>
                  <a:lnTo>
                    <a:pt x="592" y="1164"/>
                  </a:lnTo>
                  <a:lnTo>
                    <a:pt x="618" y="1168"/>
                  </a:lnTo>
                  <a:lnTo>
                    <a:pt x="649" y="1169"/>
                  </a:lnTo>
                  <a:lnTo>
                    <a:pt x="669" y="1168"/>
                  </a:lnTo>
                  <a:lnTo>
                    <a:pt x="692" y="1164"/>
                  </a:lnTo>
                  <a:lnTo>
                    <a:pt x="719" y="1158"/>
                  </a:lnTo>
                  <a:lnTo>
                    <a:pt x="745" y="1150"/>
                  </a:lnTo>
                  <a:lnTo>
                    <a:pt x="765" y="1143"/>
                  </a:lnTo>
                  <a:lnTo>
                    <a:pt x="779" y="1136"/>
                  </a:lnTo>
                  <a:lnTo>
                    <a:pt x="809" y="1136"/>
                  </a:lnTo>
                  <a:lnTo>
                    <a:pt x="809" y="1372"/>
                  </a:lnTo>
                  <a:lnTo>
                    <a:pt x="751" y="1385"/>
                  </a:lnTo>
                  <a:lnTo>
                    <a:pt x="691" y="1394"/>
                  </a:lnTo>
                  <a:lnTo>
                    <a:pt x="658" y="1398"/>
                  </a:lnTo>
                  <a:lnTo>
                    <a:pt x="622" y="1400"/>
                  </a:lnTo>
                  <a:lnTo>
                    <a:pt x="582" y="1402"/>
                  </a:lnTo>
                  <a:lnTo>
                    <a:pt x="538" y="1402"/>
                  </a:lnTo>
                  <a:lnTo>
                    <a:pt x="484" y="1401"/>
                  </a:lnTo>
                  <a:lnTo>
                    <a:pt x="432" y="1396"/>
                  </a:lnTo>
                  <a:lnTo>
                    <a:pt x="385" y="1388"/>
                  </a:lnTo>
                  <a:lnTo>
                    <a:pt x="343" y="1376"/>
                  </a:lnTo>
                  <a:lnTo>
                    <a:pt x="305" y="1361"/>
                  </a:lnTo>
                  <a:lnTo>
                    <a:pt x="269" y="1343"/>
                  </a:lnTo>
                  <a:lnTo>
                    <a:pt x="239" y="1321"/>
                  </a:lnTo>
                  <a:lnTo>
                    <a:pt x="216" y="1298"/>
                  </a:lnTo>
                  <a:lnTo>
                    <a:pt x="197" y="1273"/>
                  </a:lnTo>
                  <a:lnTo>
                    <a:pt x="180" y="1244"/>
                  </a:lnTo>
                  <a:lnTo>
                    <a:pt x="166" y="1211"/>
                  </a:lnTo>
                  <a:lnTo>
                    <a:pt x="156" y="1174"/>
                  </a:lnTo>
                  <a:lnTo>
                    <a:pt x="148" y="1134"/>
                  </a:lnTo>
                  <a:lnTo>
                    <a:pt x="143" y="1090"/>
                  </a:lnTo>
                  <a:lnTo>
                    <a:pt x="142" y="1043"/>
                  </a:lnTo>
                  <a:lnTo>
                    <a:pt x="142" y="541"/>
                  </a:lnTo>
                  <a:lnTo>
                    <a:pt x="0" y="541"/>
                  </a:lnTo>
                  <a:lnTo>
                    <a:pt x="0" y="307"/>
                  </a:lnTo>
                  <a:lnTo>
                    <a:pt x="142" y="307"/>
                  </a:lnTo>
                  <a:lnTo>
                    <a:pt x="142" y="0"/>
                  </a:lnTo>
                  <a:close/>
                </a:path>
              </a:pathLst>
            </a:custGeom>
            <a:solidFill>
              <a:srgbClr val="47B0B8"/>
            </a:solidFill>
            <a:ln w="0">
              <a:noFill/>
              <a:prstDash val="solid"/>
              <a:round/>
              <a:headEnd/>
              <a:tailEnd/>
            </a:ln>
          </xdr:spPr>
        </xdr:sp>
        <xdr:sp macro="" textlink="">
          <xdr:nvSpPr>
            <xdr:cNvPr id="17" name="Freeform 5">
              <a:extLst>
                <a:ext uri="{FF2B5EF4-FFF2-40B4-BE49-F238E27FC236}">
                  <a16:creationId xmlns:a16="http://schemas.microsoft.com/office/drawing/2014/main" id="{00000000-0008-0000-0000-000011000000}"/>
                </a:ext>
              </a:extLst>
            </xdr:cNvPr>
            <xdr:cNvSpPr>
              <a:spLocks noChangeAspect="1" noEditPoints="1"/>
            </xdr:cNvSpPr>
          </xdr:nvSpPr>
          <xdr:spPr bwMode="auto">
            <a:xfrm>
              <a:off x="348" y="244"/>
              <a:ext cx="29" cy="18"/>
            </a:xfrm>
            <a:custGeom>
              <a:avLst/>
              <a:gdLst>
                <a:gd name="T0" fmla="*/ 1304 w 3110"/>
                <a:gd name="T1" fmla="*/ 436 h 3110"/>
                <a:gd name="T2" fmla="*/ 999 w 3110"/>
                <a:gd name="T3" fmla="*/ 552 h 3110"/>
                <a:gd name="T4" fmla="*/ 743 w 3110"/>
                <a:gd name="T5" fmla="*/ 745 h 3110"/>
                <a:gd name="T6" fmla="*/ 551 w 3110"/>
                <a:gd name="T7" fmla="*/ 1000 h 3110"/>
                <a:gd name="T8" fmla="*/ 436 w 3110"/>
                <a:gd name="T9" fmla="*/ 1304 h 3110"/>
                <a:gd name="T10" fmla="*/ 410 w 3110"/>
                <a:gd name="T11" fmla="*/ 1641 h 3110"/>
                <a:gd name="T12" fmla="*/ 483 w 3110"/>
                <a:gd name="T13" fmla="*/ 1964 h 3110"/>
                <a:gd name="T14" fmla="*/ 639 w 3110"/>
                <a:gd name="T15" fmla="*/ 2246 h 3110"/>
                <a:gd name="T16" fmla="*/ 864 w 3110"/>
                <a:gd name="T17" fmla="*/ 2471 h 3110"/>
                <a:gd name="T18" fmla="*/ 1146 w 3110"/>
                <a:gd name="T19" fmla="*/ 2627 h 3110"/>
                <a:gd name="T20" fmla="*/ 1469 w 3110"/>
                <a:gd name="T21" fmla="*/ 2700 h 3110"/>
                <a:gd name="T22" fmla="*/ 1806 w 3110"/>
                <a:gd name="T23" fmla="*/ 2675 h 3110"/>
                <a:gd name="T24" fmla="*/ 2110 w 3110"/>
                <a:gd name="T25" fmla="*/ 2559 h 3110"/>
                <a:gd name="T26" fmla="*/ 2365 w 3110"/>
                <a:gd name="T27" fmla="*/ 2367 h 3110"/>
                <a:gd name="T28" fmla="*/ 2558 w 3110"/>
                <a:gd name="T29" fmla="*/ 2111 h 3110"/>
                <a:gd name="T30" fmla="*/ 2674 w 3110"/>
                <a:gd name="T31" fmla="*/ 1806 h 3110"/>
                <a:gd name="T32" fmla="*/ 2699 w 3110"/>
                <a:gd name="T33" fmla="*/ 1470 h 3110"/>
                <a:gd name="T34" fmla="*/ 2627 w 3110"/>
                <a:gd name="T35" fmla="*/ 1147 h 3110"/>
                <a:gd name="T36" fmla="*/ 2471 w 3110"/>
                <a:gd name="T37" fmla="*/ 865 h 3110"/>
                <a:gd name="T38" fmla="*/ 2245 w 3110"/>
                <a:gd name="T39" fmla="*/ 639 h 3110"/>
                <a:gd name="T40" fmla="*/ 1963 w 3110"/>
                <a:gd name="T41" fmla="*/ 483 h 3110"/>
                <a:gd name="T42" fmla="*/ 1640 w 3110"/>
                <a:gd name="T43" fmla="*/ 411 h 3110"/>
                <a:gd name="T44" fmla="*/ 1750 w 3110"/>
                <a:gd name="T45" fmla="*/ 12 h 3110"/>
                <a:gd name="T46" fmla="*/ 2117 w 3110"/>
                <a:gd name="T47" fmla="*/ 105 h 3110"/>
                <a:gd name="T48" fmla="*/ 2443 w 3110"/>
                <a:gd name="T49" fmla="*/ 279 h 3110"/>
                <a:gd name="T50" fmla="*/ 2717 w 3110"/>
                <a:gd name="T51" fmla="*/ 522 h 3110"/>
                <a:gd name="T52" fmla="*/ 2928 w 3110"/>
                <a:gd name="T53" fmla="*/ 824 h 3110"/>
                <a:gd name="T54" fmla="*/ 3062 w 3110"/>
                <a:gd name="T55" fmla="*/ 1172 h 3110"/>
                <a:gd name="T56" fmla="*/ 3110 w 3110"/>
                <a:gd name="T57" fmla="*/ 1556 h 3110"/>
                <a:gd name="T58" fmla="*/ 3062 w 3110"/>
                <a:gd name="T59" fmla="*/ 1938 h 3110"/>
                <a:gd name="T60" fmla="*/ 2928 w 3110"/>
                <a:gd name="T61" fmla="*/ 2286 h 3110"/>
                <a:gd name="T62" fmla="*/ 2717 w 3110"/>
                <a:gd name="T63" fmla="*/ 2588 h 3110"/>
                <a:gd name="T64" fmla="*/ 2443 w 3110"/>
                <a:gd name="T65" fmla="*/ 2831 h 3110"/>
                <a:gd name="T66" fmla="*/ 2117 w 3110"/>
                <a:gd name="T67" fmla="*/ 3005 h 3110"/>
                <a:gd name="T68" fmla="*/ 1750 w 3110"/>
                <a:gd name="T69" fmla="*/ 3098 h 3110"/>
                <a:gd name="T70" fmla="*/ 1360 w 3110"/>
                <a:gd name="T71" fmla="*/ 3098 h 3110"/>
                <a:gd name="T72" fmla="*/ 993 w 3110"/>
                <a:gd name="T73" fmla="*/ 3005 h 3110"/>
                <a:gd name="T74" fmla="*/ 666 w 3110"/>
                <a:gd name="T75" fmla="*/ 2831 h 3110"/>
                <a:gd name="T76" fmla="*/ 392 w 3110"/>
                <a:gd name="T77" fmla="*/ 2588 h 3110"/>
                <a:gd name="T78" fmla="*/ 182 w 3110"/>
                <a:gd name="T79" fmla="*/ 2286 h 3110"/>
                <a:gd name="T80" fmla="*/ 47 w 3110"/>
                <a:gd name="T81" fmla="*/ 1938 h 3110"/>
                <a:gd name="T82" fmla="*/ 0 w 3110"/>
                <a:gd name="T83" fmla="*/ 1556 h 3110"/>
                <a:gd name="T84" fmla="*/ 47 w 3110"/>
                <a:gd name="T85" fmla="*/ 1172 h 3110"/>
                <a:gd name="T86" fmla="*/ 182 w 3110"/>
                <a:gd name="T87" fmla="*/ 824 h 3110"/>
                <a:gd name="T88" fmla="*/ 392 w 3110"/>
                <a:gd name="T89" fmla="*/ 522 h 3110"/>
                <a:gd name="T90" fmla="*/ 666 w 3110"/>
                <a:gd name="T91" fmla="*/ 279 h 3110"/>
                <a:gd name="T92" fmla="*/ 993 w 3110"/>
                <a:gd name="T93" fmla="*/ 105 h 3110"/>
                <a:gd name="T94" fmla="*/ 1360 w 3110"/>
                <a:gd name="T95" fmla="*/ 12 h 31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Lst>
              <a:rect l="0" t="0" r="r" b="b"/>
              <a:pathLst>
                <a:path w="3110" h="3110">
                  <a:moveTo>
                    <a:pt x="1554" y="408"/>
                  </a:moveTo>
                  <a:lnTo>
                    <a:pt x="1469" y="411"/>
                  </a:lnTo>
                  <a:lnTo>
                    <a:pt x="1385" y="421"/>
                  </a:lnTo>
                  <a:lnTo>
                    <a:pt x="1304" y="436"/>
                  </a:lnTo>
                  <a:lnTo>
                    <a:pt x="1223" y="457"/>
                  </a:lnTo>
                  <a:lnTo>
                    <a:pt x="1146" y="483"/>
                  </a:lnTo>
                  <a:lnTo>
                    <a:pt x="1071" y="515"/>
                  </a:lnTo>
                  <a:lnTo>
                    <a:pt x="999" y="552"/>
                  </a:lnTo>
                  <a:lnTo>
                    <a:pt x="931" y="593"/>
                  </a:lnTo>
                  <a:lnTo>
                    <a:pt x="864" y="639"/>
                  </a:lnTo>
                  <a:lnTo>
                    <a:pt x="803" y="689"/>
                  </a:lnTo>
                  <a:lnTo>
                    <a:pt x="743" y="745"/>
                  </a:lnTo>
                  <a:lnTo>
                    <a:pt x="689" y="803"/>
                  </a:lnTo>
                  <a:lnTo>
                    <a:pt x="639" y="865"/>
                  </a:lnTo>
                  <a:lnTo>
                    <a:pt x="593" y="931"/>
                  </a:lnTo>
                  <a:lnTo>
                    <a:pt x="551" y="1000"/>
                  </a:lnTo>
                  <a:lnTo>
                    <a:pt x="514" y="1072"/>
                  </a:lnTo>
                  <a:lnTo>
                    <a:pt x="483" y="1147"/>
                  </a:lnTo>
                  <a:lnTo>
                    <a:pt x="456" y="1225"/>
                  </a:lnTo>
                  <a:lnTo>
                    <a:pt x="436" y="1304"/>
                  </a:lnTo>
                  <a:lnTo>
                    <a:pt x="420" y="1386"/>
                  </a:lnTo>
                  <a:lnTo>
                    <a:pt x="410" y="1470"/>
                  </a:lnTo>
                  <a:lnTo>
                    <a:pt x="407" y="1556"/>
                  </a:lnTo>
                  <a:lnTo>
                    <a:pt x="410" y="1641"/>
                  </a:lnTo>
                  <a:lnTo>
                    <a:pt x="420" y="1725"/>
                  </a:lnTo>
                  <a:lnTo>
                    <a:pt x="436" y="1806"/>
                  </a:lnTo>
                  <a:lnTo>
                    <a:pt x="456" y="1887"/>
                  </a:lnTo>
                  <a:lnTo>
                    <a:pt x="483" y="1964"/>
                  </a:lnTo>
                  <a:lnTo>
                    <a:pt x="514" y="2039"/>
                  </a:lnTo>
                  <a:lnTo>
                    <a:pt x="551" y="2111"/>
                  </a:lnTo>
                  <a:lnTo>
                    <a:pt x="593" y="2179"/>
                  </a:lnTo>
                  <a:lnTo>
                    <a:pt x="639" y="2246"/>
                  </a:lnTo>
                  <a:lnTo>
                    <a:pt x="689" y="2308"/>
                  </a:lnTo>
                  <a:lnTo>
                    <a:pt x="743" y="2367"/>
                  </a:lnTo>
                  <a:lnTo>
                    <a:pt x="803" y="2421"/>
                  </a:lnTo>
                  <a:lnTo>
                    <a:pt x="864" y="2471"/>
                  </a:lnTo>
                  <a:lnTo>
                    <a:pt x="931" y="2517"/>
                  </a:lnTo>
                  <a:lnTo>
                    <a:pt x="999" y="2559"/>
                  </a:lnTo>
                  <a:lnTo>
                    <a:pt x="1071" y="2596"/>
                  </a:lnTo>
                  <a:lnTo>
                    <a:pt x="1146" y="2627"/>
                  </a:lnTo>
                  <a:lnTo>
                    <a:pt x="1223" y="2654"/>
                  </a:lnTo>
                  <a:lnTo>
                    <a:pt x="1304" y="2675"/>
                  </a:lnTo>
                  <a:lnTo>
                    <a:pt x="1385" y="2690"/>
                  </a:lnTo>
                  <a:lnTo>
                    <a:pt x="1469" y="2700"/>
                  </a:lnTo>
                  <a:lnTo>
                    <a:pt x="1554" y="2703"/>
                  </a:lnTo>
                  <a:lnTo>
                    <a:pt x="1640" y="2700"/>
                  </a:lnTo>
                  <a:lnTo>
                    <a:pt x="1724" y="2690"/>
                  </a:lnTo>
                  <a:lnTo>
                    <a:pt x="1806" y="2675"/>
                  </a:lnTo>
                  <a:lnTo>
                    <a:pt x="1885" y="2654"/>
                  </a:lnTo>
                  <a:lnTo>
                    <a:pt x="1963" y="2627"/>
                  </a:lnTo>
                  <a:lnTo>
                    <a:pt x="2038" y="2596"/>
                  </a:lnTo>
                  <a:lnTo>
                    <a:pt x="2110" y="2559"/>
                  </a:lnTo>
                  <a:lnTo>
                    <a:pt x="2179" y="2517"/>
                  </a:lnTo>
                  <a:lnTo>
                    <a:pt x="2245" y="2471"/>
                  </a:lnTo>
                  <a:lnTo>
                    <a:pt x="2307" y="2421"/>
                  </a:lnTo>
                  <a:lnTo>
                    <a:pt x="2365" y="2367"/>
                  </a:lnTo>
                  <a:lnTo>
                    <a:pt x="2421" y="2308"/>
                  </a:lnTo>
                  <a:lnTo>
                    <a:pt x="2471" y="2246"/>
                  </a:lnTo>
                  <a:lnTo>
                    <a:pt x="2517" y="2179"/>
                  </a:lnTo>
                  <a:lnTo>
                    <a:pt x="2558" y="2111"/>
                  </a:lnTo>
                  <a:lnTo>
                    <a:pt x="2596" y="2039"/>
                  </a:lnTo>
                  <a:lnTo>
                    <a:pt x="2627" y="1964"/>
                  </a:lnTo>
                  <a:lnTo>
                    <a:pt x="2653" y="1887"/>
                  </a:lnTo>
                  <a:lnTo>
                    <a:pt x="2674" y="1806"/>
                  </a:lnTo>
                  <a:lnTo>
                    <a:pt x="2689" y="1725"/>
                  </a:lnTo>
                  <a:lnTo>
                    <a:pt x="2699" y="1641"/>
                  </a:lnTo>
                  <a:lnTo>
                    <a:pt x="2702" y="1556"/>
                  </a:lnTo>
                  <a:lnTo>
                    <a:pt x="2699" y="1470"/>
                  </a:lnTo>
                  <a:lnTo>
                    <a:pt x="2689" y="1386"/>
                  </a:lnTo>
                  <a:lnTo>
                    <a:pt x="2674" y="1304"/>
                  </a:lnTo>
                  <a:lnTo>
                    <a:pt x="2653" y="1225"/>
                  </a:lnTo>
                  <a:lnTo>
                    <a:pt x="2627" y="1147"/>
                  </a:lnTo>
                  <a:lnTo>
                    <a:pt x="2596" y="1072"/>
                  </a:lnTo>
                  <a:lnTo>
                    <a:pt x="2558" y="1000"/>
                  </a:lnTo>
                  <a:lnTo>
                    <a:pt x="2517" y="931"/>
                  </a:lnTo>
                  <a:lnTo>
                    <a:pt x="2471" y="865"/>
                  </a:lnTo>
                  <a:lnTo>
                    <a:pt x="2421" y="803"/>
                  </a:lnTo>
                  <a:lnTo>
                    <a:pt x="2365" y="745"/>
                  </a:lnTo>
                  <a:lnTo>
                    <a:pt x="2307" y="689"/>
                  </a:lnTo>
                  <a:lnTo>
                    <a:pt x="2245" y="639"/>
                  </a:lnTo>
                  <a:lnTo>
                    <a:pt x="2179" y="593"/>
                  </a:lnTo>
                  <a:lnTo>
                    <a:pt x="2110" y="552"/>
                  </a:lnTo>
                  <a:lnTo>
                    <a:pt x="2038" y="515"/>
                  </a:lnTo>
                  <a:lnTo>
                    <a:pt x="1963" y="483"/>
                  </a:lnTo>
                  <a:lnTo>
                    <a:pt x="1885" y="457"/>
                  </a:lnTo>
                  <a:lnTo>
                    <a:pt x="1806" y="436"/>
                  </a:lnTo>
                  <a:lnTo>
                    <a:pt x="1724" y="421"/>
                  </a:lnTo>
                  <a:lnTo>
                    <a:pt x="1640" y="411"/>
                  </a:lnTo>
                  <a:lnTo>
                    <a:pt x="1554" y="408"/>
                  </a:lnTo>
                  <a:close/>
                  <a:moveTo>
                    <a:pt x="1554" y="0"/>
                  </a:moveTo>
                  <a:lnTo>
                    <a:pt x="1653" y="3"/>
                  </a:lnTo>
                  <a:lnTo>
                    <a:pt x="1750" y="12"/>
                  </a:lnTo>
                  <a:lnTo>
                    <a:pt x="1845" y="27"/>
                  </a:lnTo>
                  <a:lnTo>
                    <a:pt x="1938" y="49"/>
                  </a:lnTo>
                  <a:lnTo>
                    <a:pt x="2028" y="74"/>
                  </a:lnTo>
                  <a:lnTo>
                    <a:pt x="2117" y="105"/>
                  </a:lnTo>
                  <a:lnTo>
                    <a:pt x="2202" y="141"/>
                  </a:lnTo>
                  <a:lnTo>
                    <a:pt x="2286" y="182"/>
                  </a:lnTo>
                  <a:lnTo>
                    <a:pt x="2366" y="229"/>
                  </a:lnTo>
                  <a:lnTo>
                    <a:pt x="2443" y="279"/>
                  </a:lnTo>
                  <a:lnTo>
                    <a:pt x="2517" y="334"/>
                  </a:lnTo>
                  <a:lnTo>
                    <a:pt x="2588" y="393"/>
                  </a:lnTo>
                  <a:lnTo>
                    <a:pt x="2654" y="456"/>
                  </a:lnTo>
                  <a:lnTo>
                    <a:pt x="2717" y="522"/>
                  </a:lnTo>
                  <a:lnTo>
                    <a:pt x="2776" y="593"/>
                  </a:lnTo>
                  <a:lnTo>
                    <a:pt x="2831" y="667"/>
                  </a:lnTo>
                  <a:lnTo>
                    <a:pt x="2881" y="745"/>
                  </a:lnTo>
                  <a:lnTo>
                    <a:pt x="2928" y="824"/>
                  </a:lnTo>
                  <a:lnTo>
                    <a:pt x="2969" y="908"/>
                  </a:lnTo>
                  <a:lnTo>
                    <a:pt x="3005" y="993"/>
                  </a:lnTo>
                  <a:lnTo>
                    <a:pt x="3036" y="1082"/>
                  </a:lnTo>
                  <a:lnTo>
                    <a:pt x="3062" y="1172"/>
                  </a:lnTo>
                  <a:lnTo>
                    <a:pt x="3083" y="1266"/>
                  </a:lnTo>
                  <a:lnTo>
                    <a:pt x="3098" y="1360"/>
                  </a:lnTo>
                  <a:lnTo>
                    <a:pt x="3107" y="1457"/>
                  </a:lnTo>
                  <a:lnTo>
                    <a:pt x="3110" y="1556"/>
                  </a:lnTo>
                  <a:lnTo>
                    <a:pt x="3107" y="1653"/>
                  </a:lnTo>
                  <a:lnTo>
                    <a:pt x="3098" y="1751"/>
                  </a:lnTo>
                  <a:lnTo>
                    <a:pt x="3083" y="1845"/>
                  </a:lnTo>
                  <a:lnTo>
                    <a:pt x="3062" y="1938"/>
                  </a:lnTo>
                  <a:lnTo>
                    <a:pt x="3036" y="2028"/>
                  </a:lnTo>
                  <a:lnTo>
                    <a:pt x="3005" y="2117"/>
                  </a:lnTo>
                  <a:lnTo>
                    <a:pt x="2969" y="2204"/>
                  </a:lnTo>
                  <a:lnTo>
                    <a:pt x="2928" y="2286"/>
                  </a:lnTo>
                  <a:lnTo>
                    <a:pt x="2881" y="2367"/>
                  </a:lnTo>
                  <a:lnTo>
                    <a:pt x="2831" y="2444"/>
                  </a:lnTo>
                  <a:lnTo>
                    <a:pt x="2776" y="2517"/>
                  </a:lnTo>
                  <a:lnTo>
                    <a:pt x="2717" y="2588"/>
                  </a:lnTo>
                  <a:lnTo>
                    <a:pt x="2654" y="2654"/>
                  </a:lnTo>
                  <a:lnTo>
                    <a:pt x="2588" y="2718"/>
                  </a:lnTo>
                  <a:lnTo>
                    <a:pt x="2517" y="2777"/>
                  </a:lnTo>
                  <a:lnTo>
                    <a:pt x="2443" y="2831"/>
                  </a:lnTo>
                  <a:lnTo>
                    <a:pt x="2366" y="2882"/>
                  </a:lnTo>
                  <a:lnTo>
                    <a:pt x="2286" y="2928"/>
                  </a:lnTo>
                  <a:lnTo>
                    <a:pt x="2202" y="2969"/>
                  </a:lnTo>
                  <a:lnTo>
                    <a:pt x="2117" y="3005"/>
                  </a:lnTo>
                  <a:lnTo>
                    <a:pt x="2028" y="3037"/>
                  </a:lnTo>
                  <a:lnTo>
                    <a:pt x="1938" y="3063"/>
                  </a:lnTo>
                  <a:lnTo>
                    <a:pt x="1845" y="3083"/>
                  </a:lnTo>
                  <a:lnTo>
                    <a:pt x="1750" y="3098"/>
                  </a:lnTo>
                  <a:lnTo>
                    <a:pt x="1653" y="3107"/>
                  </a:lnTo>
                  <a:lnTo>
                    <a:pt x="1554" y="3110"/>
                  </a:lnTo>
                  <a:lnTo>
                    <a:pt x="1457" y="3107"/>
                  </a:lnTo>
                  <a:lnTo>
                    <a:pt x="1360" y="3098"/>
                  </a:lnTo>
                  <a:lnTo>
                    <a:pt x="1265" y="3083"/>
                  </a:lnTo>
                  <a:lnTo>
                    <a:pt x="1172" y="3063"/>
                  </a:lnTo>
                  <a:lnTo>
                    <a:pt x="1082" y="3037"/>
                  </a:lnTo>
                  <a:lnTo>
                    <a:pt x="993" y="3005"/>
                  </a:lnTo>
                  <a:lnTo>
                    <a:pt x="906" y="2969"/>
                  </a:lnTo>
                  <a:lnTo>
                    <a:pt x="824" y="2928"/>
                  </a:lnTo>
                  <a:lnTo>
                    <a:pt x="743" y="2882"/>
                  </a:lnTo>
                  <a:lnTo>
                    <a:pt x="666" y="2831"/>
                  </a:lnTo>
                  <a:lnTo>
                    <a:pt x="593" y="2777"/>
                  </a:lnTo>
                  <a:lnTo>
                    <a:pt x="522" y="2718"/>
                  </a:lnTo>
                  <a:lnTo>
                    <a:pt x="456" y="2654"/>
                  </a:lnTo>
                  <a:lnTo>
                    <a:pt x="392" y="2588"/>
                  </a:lnTo>
                  <a:lnTo>
                    <a:pt x="333" y="2517"/>
                  </a:lnTo>
                  <a:lnTo>
                    <a:pt x="279" y="2444"/>
                  </a:lnTo>
                  <a:lnTo>
                    <a:pt x="228" y="2367"/>
                  </a:lnTo>
                  <a:lnTo>
                    <a:pt x="182" y="2286"/>
                  </a:lnTo>
                  <a:lnTo>
                    <a:pt x="141" y="2204"/>
                  </a:lnTo>
                  <a:lnTo>
                    <a:pt x="105" y="2117"/>
                  </a:lnTo>
                  <a:lnTo>
                    <a:pt x="73" y="2028"/>
                  </a:lnTo>
                  <a:lnTo>
                    <a:pt x="47" y="1938"/>
                  </a:lnTo>
                  <a:lnTo>
                    <a:pt x="27" y="1845"/>
                  </a:lnTo>
                  <a:lnTo>
                    <a:pt x="12" y="1751"/>
                  </a:lnTo>
                  <a:lnTo>
                    <a:pt x="3" y="1653"/>
                  </a:lnTo>
                  <a:lnTo>
                    <a:pt x="0" y="1556"/>
                  </a:lnTo>
                  <a:lnTo>
                    <a:pt x="3" y="1457"/>
                  </a:lnTo>
                  <a:lnTo>
                    <a:pt x="12" y="1360"/>
                  </a:lnTo>
                  <a:lnTo>
                    <a:pt x="27" y="1266"/>
                  </a:lnTo>
                  <a:lnTo>
                    <a:pt x="47" y="1172"/>
                  </a:lnTo>
                  <a:lnTo>
                    <a:pt x="73" y="1082"/>
                  </a:lnTo>
                  <a:lnTo>
                    <a:pt x="105" y="993"/>
                  </a:lnTo>
                  <a:lnTo>
                    <a:pt x="141" y="908"/>
                  </a:lnTo>
                  <a:lnTo>
                    <a:pt x="182" y="824"/>
                  </a:lnTo>
                  <a:lnTo>
                    <a:pt x="228" y="745"/>
                  </a:lnTo>
                  <a:lnTo>
                    <a:pt x="279" y="667"/>
                  </a:lnTo>
                  <a:lnTo>
                    <a:pt x="333" y="593"/>
                  </a:lnTo>
                  <a:lnTo>
                    <a:pt x="392" y="522"/>
                  </a:lnTo>
                  <a:lnTo>
                    <a:pt x="456" y="456"/>
                  </a:lnTo>
                  <a:lnTo>
                    <a:pt x="522" y="393"/>
                  </a:lnTo>
                  <a:lnTo>
                    <a:pt x="593" y="334"/>
                  </a:lnTo>
                  <a:lnTo>
                    <a:pt x="666" y="279"/>
                  </a:lnTo>
                  <a:lnTo>
                    <a:pt x="743" y="229"/>
                  </a:lnTo>
                  <a:lnTo>
                    <a:pt x="824" y="182"/>
                  </a:lnTo>
                  <a:lnTo>
                    <a:pt x="906" y="141"/>
                  </a:lnTo>
                  <a:lnTo>
                    <a:pt x="993" y="105"/>
                  </a:lnTo>
                  <a:lnTo>
                    <a:pt x="1082" y="74"/>
                  </a:lnTo>
                  <a:lnTo>
                    <a:pt x="1172" y="49"/>
                  </a:lnTo>
                  <a:lnTo>
                    <a:pt x="1265" y="27"/>
                  </a:lnTo>
                  <a:lnTo>
                    <a:pt x="1360" y="12"/>
                  </a:lnTo>
                  <a:lnTo>
                    <a:pt x="1457" y="3"/>
                  </a:lnTo>
                  <a:lnTo>
                    <a:pt x="1554" y="0"/>
                  </a:lnTo>
                  <a:close/>
                </a:path>
              </a:pathLst>
            </a:custGeom>
            <a:solidFill>
              <a:srgbClr val="47B0B8"/>
            </a:solidFill>
            <a:ln w="0">
              <a:noFill/>
              <a:prstDash val="solid"/>
              <a:round/>
              <a:headEnd/>
              <a:tailEnd/>
            </a:ln>
          </xdr:spPr>
        </xdr:sp>
      </xdr:grpSp>
      <xdr:sp macro="" textlink="">
        <xdr:nvSpPr>
          <xdr:cNvPr id="15" name="Rectangular Callout 15">
            <a:extLst>
              <a:ext uri="{FF2B5EF4-FFF2-40B4-BE49-F238E27FC236}">
                <a16:creationId xmlns:a16="http://schemas.microsoft.com/office/drawing/2014/main" id="{00000000-0008-0000-0000-00000F000000}"/>
              </a:ext>
            </a:extLst>
          </xdr:cNvPr>
          <xdr:cNvSpPr/>
        </xdr:nvSpPr>
        <xdr:spPr>
          <a:xfrm>
            <a:off x="2914649" y="1047750"/>
            <a:ext cx="4238626" cy="790575"/>
          </a:xfrm>
          <a:prstGeom prst="wedgeRectCallout">
            <a:avLst>
              <a:gd name="adj1" fmla="val -52279"/>
              <a:gd name="adj2" fmla="val -21837"/>
            </a:avLst>
          </a:prstGeom>
          <a:noFill/>
          <a:ln w="19050" cap="rnd" cmpd="sng" algn="ctr">
            <a:solidFill>
              <a:srgbClr val="FFFFFF">
                <a:lumMod val="75000"/>
              </a:srgbClr>
            </a:solidFill>
            <a:prstDash val="solid"/>
          </a:ln>
          <a:effectLst/>
        </xdr:spPr>
        <xdr:txBody>
          <a:bodyPr vertOverflow="clip" horzOverflow="clip" lIns="36576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20" normalizeH="0" baseline="0" noProof="0">
                <a:ln>
                  <a:noFill/>
                </a:ln>
                <a:solidFill>
                  <a:srgbClr val="556270"/>
                </a:solidFill>
                <a:effectLst/>
                <a:uLnTx/>
                <a:uFillTx/>
                <a:latin typeface="Verdana"/>
                <a:ea typeface="+mn-ea"/>
                <a:cs typeface="+mn-cs"/>
              </a:rPr>
              <a:t>blah blah blahblah blah blahblah blah blahblah blah blahblah blah blahblah blah blahblah blah blahblah blah blahblah blah blahblah blah blahblah blah blahblah blah blahblah blah blahblah blah blahblah blah blahblah blah blahblah blah blahblah blah blahblah blah blahblah blah blahblah blah blahblah blah blahblah blah blahblah blah blahblah blah blahblah blah blahblah blah blah </a:t>
            </a:r>
            <a:endParaRPr kumimoji="0" lang="en-US" sz="800" b="0" i="0" u="none" strike="noStrike" kern="0" cap="none" spc="20" normalizeH="0" baseline="0" noProof="0">
              <a:ln>
                <a:noFill/>
              </a:ln>
              <a:solidFill>
                <a:srgbClr val="47B0B8"/>
              </a:solidFill>
              <a:effectLst/>
              <a:uLnTx/>
              <a:uFillTx/>
              <a:latin typeface="Verdana"/>
              <a:ea typeface=""/>
              <a:cs typeface=""/>
            </a:endParaRPr>
          </a:p>
        </xdr:txBody>
      </xdr:sp>
    </xdr:grpSp>
    <xdr:clientData/>
  </xdr:twoCellAnchor>
  <xdr:twoCellAnchor>
    <xdr:from>
      <xdr:col>15</xdr:col>
      <xdr:colOff>370418</xdr:colOff>
      <xdr:row>17</xdr:row>
      <xdr:rowOff>66920</xdr:rowOff>
    </xdr:from>
    <xdr:to>
      <xdr:col>20</xdr:col>
      <xdr:colOff>814918</xdr:colOff>
      <xdr:row>30</xdr:row>
      <xdr:rowOff>196036</xdr:rowOff>
    </xdr:to>
    <xdr:graphicFrame macro="">
      <xdr:nvGraphicFramePr>
        <xdr:cNvPr id="5" name="Diagram 3">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148167</xdr:colOff>
      <xdr:row>31</xdr:row>
      <xdr:rowOff>127000</xdr:rowOff>
    </xdr:from>
    <xdr:to>
      <xdr:col>21</xdr:col>
      <xdr:colOff>0</xdr:colOff>
      <xdr:row>45</xdr:row>
      <xdr:rowOff>55033</xdr:rowOff>
    </xdr:to>
    <xdr:graphicFrame macro="">
      <xdr:nvGraphicFramePr>
        <xdr:cNvPr id="19" name="Diagram 3">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lle/Desktop/Ny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æningsdata"/>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2:M122" totalsRowShown="0" headerRowDxfId="24" dataDxfId="22" headerRowBorderDxfId="23" tableBorderDxfId="21" totalsRowBorderDxfId="20">
  <autoFilter ref="A2:M122" xr:uid="{00000000-0009-0000-0100-000001000000}"/>
  <tableColumns count="13">
    <tableColumn id="1" xr3:uid="{00000000-0010-0000-0000-000001000000}" name="Dato" dataDxfId="19"/>
    <tableColumn id="2" xr3:uid="{00000000-0010-0000-0000-000002000000}" name="Ugedag" dataDxfId="18">
      <calculatedColumnFormula>TEXT(WEEKDAY(A3,1),"dddd")</calculatedColumnFormula>
    </tableColumn>
    <tableColumn id="3" xr3:uid="{00000000-0010-0000-0000-000003000000}" name="Type" dataDxfId="17"/>
    <tableColumn id="4" xr3:uid="{00000000-0010-0000-0000-000004000000}" name="Distance" dataDxfId="16"/>
    <tableColumn id="5" xr3:uid="{00000000-0010-0000-0000-000005000000}" name="T" dataDxfId="15"/>
    <tableColumn id="6" xr3:uid="{00000000-0010-0000-0000-000006000000}" name="M" dataDxfId="14"/>
    <tableColumn id="7" xr3:uid="{00000000-0010-0000-0000-000007000000}" name="S" dataDxfId="13"/>
    <tableColumn id="13" xr3:uid="{00000000-0010-0000-0000-00000D000000}" name="Km-tid" dataDxfId="12">
      <calculatedColumnFormula>IF(D3 &lt;&gt;0,TIME(E3,F3,G3)/D3,0)</calculatedColumnFormula>
    </tableColumn>
    <tableColumn id="8" xr3:uid="{00000000-0010-0000-0000-000008000000}" name="Gns.puls" dataDxfId="11"/>
    <tableColumn id="9" xr3:uid="{00000000-0010-0000-0000-000009000000}" name="Sko" dataDxfId="10"/>
    <tableColumn id="10" xr3:uid="{00000000-0010-0000-0000-00000A000000}" name="Mdr." dataDxfId="9">
      <calculatedColumnFormula>IF(A3="",0,MONTH(A3))</calculatedColumnFormula>
    </tableColumn>
    <tableColumn id="12" xr3:uid="{00000000-0010-0000-0000-00000C000000}" name="Uge" dataDxfId="8"/>
    <tableColumn id="11" xr3:uid="{00000000-0010-0000-0000-00000B000000}" name="Beskrivelse" dataDxfId="7"/>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13" displayName="Tabel13" ref="J5:N12" totalsRowShown="0">
  <tableColumns count="5">
    <tableColumn id="1" xr3:uid="{00000000-0010-0000-0100-000001000000}" name="Sko"/>
    <tableColumn id="5" xr3:uid="{00000000-0010-0000-0100-000005000000}" name="Beskrivelse"/>
    <tableColumn id="2" xr3:uid="{00000000-0010-0000-0100-000002000000}" name="Start KM" dataDxfId="6"/>
    <tableColumn id="3" xr3:uid="{00000000-0010-0000-0100-000003000000}" name="Løb" dataDxfId="5">
      <calculatedColumnFormula>SUMIF(Tabel1[Sko],J6,Tabel1[Distance])</calculatedColumnFormula>
    </tableColumn>
    <tableColumn id="4" xr3:uid="{00000000-0010-0000-0100-000004000000}" name="Total" dataDxfId="4">
      <calculatedColumnFormula>SUM(L6:M6)</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4" displayName="Tabel4" ref="E1:J11" totalsRowShown="0">
  <autoFilter ref="E1:J11" xr:uid="{00000000-0009-0000-0100-000003000000}"/>
  <tableColumns count="6">
    <tableColumn id="1" xr3:uid="{00000000-0010-0000-0200-000001000000}" name="Dato"/>
    <tableColumn id="2" xr3:uid="{00000000-0010-0000-0200-000002000000}" name="1. Km"/>
    <tableColumn id="3" xr3:uid="{00000000-0010-0000-0200-000003000000}" name="2. Km"/>
    <tableColumn id="4" xr3:uid="{00000000-0010-0000-0200-000004000000}" name="3. Km"/>
    <tableColumn id="5" xr3:uid="{00000000-0010-0000-0200-000005000000}" name="4. Km"/>
    <tableColumn id="6" xr3:uid="{00000000-0010-0000-0200-000006000000}" name="5. Km"/>
  </tableColumns>
  <tableStyleInfo name="TableStyleMedium9" showFirstColumn="0" showLastColumn="0" showRowStripes="1" showColumnStripes="0"/>
</table>
</file>

<file path=xl/theme/theme1.xml><?xml version="1.0" encoding="utf-8"?>
<a:theme xmlns:a="http://schemas.openxmlformats.org/drawingml/2006/main" name="Kontor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0"/>
  <sheetViews>
    <sheetView topLeftCell="A4" zoomScale="50" zoomScaleNormal="50" workbookViewId="0">
      <selection activeCell="AC33" sqref="AC33"/>
    </sheetView>
  </sheetViews>
  <sheetFormatPr defaultColWidth="10.796875" defaultRowHeight="15.6" x14ac:dyDescent="0.3"/>
  <cols>
    <col min="1" max="1" width="15.69921875" style="45" bestFit="1" customWidth="1"/>
    <col min="2" max="2" width="10.796875" style="45"/>
    <col min="3" max="3" width="3.19921875" style="45" bestFit="1" customWidth="1"/>
    <col min="4" max="4" width="12" style="45" bestFit="1" customWidth="1"/>
    <col min="5" max="5" width="4.69921875" style="45" bestFit="1" customWidth="1"/>
    <col min="6" max="9" width="3.19921875" style="45" bestFit="1" customWidth="1"/>
    <col min="10" max="21" width="10.796875" style="45"/>
    <col min="22" max="22" width="3" style="45" customWidth="1"/>
    <col min="23" max="23" width="13.09765625" style="45" bestFit="1" customWidth="1"/>
    <col min="24" max="24" width="4.8984375" style="45" customWidth="1"/>
    <col min="25" max="16384" width="10.796875" style="45"/>
  </cols>
  <sheetData>
    <row r="1" spans="1:25" ht="16.2" thickBot="1" x14ac:dyDescent="0.35"/>
    <row r="2" spans="1:25" ht="39" customHeight="1" thickBot="1" x14ac:dyDescent="0.95">
      <c r="A2" s="136">
        <f>+Skemaer!J3</f>
        <v>2018</v>
      </c>
      <c r="B2" s="137"/>
      <c r="C2" s="137"/>
      <c r="D2" s="137"/>
      <c r="E2" s="137"/>
      <c r="F2" s="137"/>
      <c r="G2" s="137"/>
      <c r="H2" s="137"/>
      <c r="I2" s="137"/>
      <c r="J2" s="137"/>
      <c r="K2" s="137"/>
      <c r="L2" s="137"/>
      <c r="M2" s="137"/>
      <c r="N2" s="137"/>
      <c r="O2" s="137"/>
      <c r="P2" s="137"/>
      <c r="Q2" s="137"/>
      <c r="R2" s="137"/>
      <c r="S2" s="137"/>
      <c r="T2" s="137"/>
      <c r="U2" s="138"/>
    </row>
    <row r="3" spans="1:25" ht="22.95" customHeight="1" x14ac:dyDescent="0.95">
      <c r="A3" s="114"/>
      <c r="B3" s="114"/>
      <c r="C3" s="114"/>
      <c r="D3" s="114"/>
      <c r="E3" s="114"/>
      <c r="F3" s="114"/>
      <c r="G3" s="114"/>
      <c r="H3" s="114"/>
      <c r="I3" s="114"/>
      <c r="J3" s="114"/>
      <c r="K3" s="114"/>
      <c r="L3" s="114"/>
      <c r="M3" s="114"/>
      <c r="N3" s="114"/>
      <c r="O3" s="114"/>
      <c r="P3" s="114"/>
      <c r="Q3" s="114"/>
      <c r="R3" s="114"/>
      <c r="S3" s="114"/>
      <c r="T3" s="114"/>
      <c r="U3" s="114"/>
    </row>
    <row r="4" spans="1:25" ht="18" x14ac:dyDescent="0.35">
      <c r="W4" s="109" t="s">
        <v>28</v>
      </c>
      <c r="X4" s="109"/>
      <c r="Y4" s="109" t="s">
        <v>3</v>
      </c>
    </row>
    <row r="5" spans="1:25" ht="18" x14ac:dyDescent="0.35">
      <c r="W5" s="110" t="s">
        <v>16</v>
      </c>
      <c r="X5" s="110">
        <v>1</v>
      </c>
      <c r="Y5" s="111">
        <f>SUMIF(Tabel1[[#All],[Mdr.]],1,Tabel1[[#All],[Distance]])</f>
        <v>213.30999999999995</v>
      </c>
    </row>
    <row r="6" spans="1:25" ht="16.95" customHeight="1" x14ac:dyDescent="0.35">
      <c r="W6" s="110" t="s">
        <v>17</v>
      </c>
      <c r="X6" s="110">
        <v>2</v>
      </c>
      <c r="Y6" s="111">
        <f>SUMIF(Tabel1[[#All],[Mdr.]],2,Tabel1[[#All],[Distance]])</f>
        <v>232.7</v>
      </c>
    </row>
    <row r="7" spans="1:25" ht="16.05" customHeight="1" x14ac:dyDescent="0.35">
      <c r="W7" s="110" t="s">
        <v>18</v>
      </c>
      <c r="X7" s="110">
        <v>3</v>
      </c>
      <c r="Y7" s="111">
        <f>SUMIF(Tabel1[[#All],[Mdr.]],3,Tabel1[[#All],[Distance]])</f>
        <v>167.01</v>
      </c>
    </row>
    <row r="8" spans="1:25" ht="16.05" customHeight="1" x14ac:dyDescent="0.35">
      <c r="W8" s="110" t="s">
        <v>19</v>
      </c>
      <c r="X8" s="110">
        <v>4</v>
      </c>
      <c r="Y8" s="111">
        <f>SUMIF(Tabel1[[#All],[Mdr.]],4,Tabel1[[#All],[Distance]])</f>
        <v>216.51</v>
      </c>
    </row>
    <row r="9" spans="1:25" ht="16.05" customHeight="1" x14ac:dyDescent="0.35">
      <c r="W9" s="110" t="s">
        <v>20</v>
      </c>
      <c r="X9" s="110">
        <v>5</v>
      </c>
      <c r="Y9" s="111">
        <f>SUMIF(Tabel1[[#All],[Mdr.]],5,Tabel1[[#All],[Distance]])</f>
        <v>170.76</v>
      </c>
    </row>
    <row r="10" spans="1:25" ht="18" x14ac:dyDescent="0.35">
      <c r="W10" s="110" t="s">
        <v>21</v>
      </c>
      <c r="X10" s="110">
        <v>6</v>
      </c>
      <c r="Y10" s="111">
        <f>SUMIF(Tabel1[[#All],[Mdr.]],6,Tabel1[[#All],[Distance]])</f>
        <v>322.14</v>
      </c>
    </row>
    <row r="11" spans="1:25" ht="18" x14ac:dyDescent="0.35">
      <c r="W11" s="110" t="s">
        <v>22</v>
      </c>
      <c r="X11" s="110">
        <v>7</v>
      </c>
      <c r="Y11" s="111">
        <f>SUMIF(Tabel1[[#All],[Mdr.]],7,Tabel1[[#All],[Distance]])</f>
        <v>187.48999999999998</v>
      </c>
    </row>
    <row r="12" spans="1:25" ht="18" x14ac:dyDescent="0.35">
      <c r="W12" s="110" t="s">
        <v>23</v>
      </c>
      <c r="X12" s="110">
        <v>8</v>
      </c>
      <c r="Y12" s="111">
        <f>SUMIF(Tabel1[[#All],[Mdr.]],8,Tabel1[[#All],[Distance]])</f>
        <v>220.14</v>
      </c>
    </row>
    <row r="13" spans="1:25" ht="18" x14ac:dyDescent="0.35">
      <c r="W13" s="110" t="s">
        <v>24</v>
      </c>
      <c r="X13" s="110">
        <v>9</v>
      </c>
      <c r="Y13" s="111">
        <f>SUMIF(Tabel1[[#All],[Mdr.]],9,Tabel1[[#All],[Distance]])</f>
        <v>168.29</v>
      </c>
    </row>
    <row r="14" spans="1:25" ht="18" x14ac:dyDescent="0.35">
      <c r="W14" s="110" t="s">
        <v>25</v>
      </c>
      <c r="X14" s="110">
        <v>10</v>
      </c>
      <c r="Y14" s="111">
        <f>SUMIF(Tabel1[[#All],[Mdr.]],10,Tabel1[[#All],[Distance]])</f>
        <v>42.25</v>
      </c>
    </row>
    <row r="15" spans="1:25" ht="18" x14ac:dyDescent="0.35">
      <c r="W15" s="110" t="s">
        <v>26</v>
      </c>
      <c r="X15" s="110">
        <v>11</v>
      </c>
      <c r="Y15" s="111">
        <f>SUMIF(Tabel1[[#All],[Mdr.]],11,Tabel1[[#All],[Distance]])</f>
        <v>0</v>
      </c>
    </row>
    <row r="16" spans="1:25" ht="18" x14ac:dyDescent="0.35">
      <c r="W16" s="110" t="s">
        <v>27</v>
      </c>
      <c r="X16" s="110">
        <v>12</v>
      </c>
      <c r="Y16" s="111">
        <f>SUMIF(Tabel1[[#All],[Mdr.]],12,Tabel1[[#All],[Distance]])</f>
        <v>0</v>
      </c>
    </row>
    <row r="17" spans="17:25" ht="18" x14ac:dyDescent="0.35">
      <c r="W17" s="112" t="s">
        <v>29</v>
      </c>
      <c r="X17" s="112"/>
      <c r="Y17" s="113">
        <f>SUM(Y5:Y16)</f>
        <v>1940.6</v>
      </c>
    </row>
    <row r="18" spans="17:25" x14ac:dyDescent="0.3">
      <c r="T18" s="44"/>
      <c r="U18" s="44"/>
      <c r="V18" s="44"/>
      <c r="W18" s="44"/>
    </row>
    <row r="20" spans="17:25" x14ac:dyDescent="0.3">
      <c r="T20" s="46"/>
      <c r="U20" s="44"/>
      <c r="V20" s="44"/>
      <c r="W20" s="44"/>
    </row>
    <row r="21" spans="17:25" x14ac:dyDescent="0.3">
      <c r="T21" s="46"/>
      <c r="U21" s="44"/>
      <c r="V21" s="44"/>
      <c r="W21" s="44"/>
    </row>
    <row r="22" spans="17:25" x14ac:dyDescent="0.3">
      <c r="T22" s="46"/>
      <c r="U22" s="44"/>
      <c r="V22" s="44"/>
    </row>
    <row r="23" spans="17:25" x14ac:dyDescent="0.3">
      <c r="Q23" s="44"/>
      <c r="R23" s="44"/>
      <c r="S23" s="44"/>
      <c r="T23" s="44"/>
      <c r="U23" s="44"/>
      <c r="V23" s="44"/>
      <c r="W23" s="44"/>
    </row>
    <row r="24" spans="17:25" x14ac:dyDescent="0.3">
      <c r="Q24" s="44"/>
      <c r="R24" s="44"/>
      <c r="S24" s="44"/>
      <c r="T24" s="44"/>
      <c r="U24" s="44"/>
      <c r="V24" s="44"/>
    </row>
    <row r="25" spans="17:25" x14ac:dyDescent="0.3">
      <c r="Q25" s="44"/>
      <c r="R25" s="44"/>
      <c r="S25" s="44"/>
      <c r="T25" s="44"/>
      <c r="U25" s="44"/>
      <c r="V25" s="44"/>
    </row>
    <row r="26" spans="17:25" x14ac:dyDescent="0.3">
      <c r="Q26" s="44"/>
      <c r="R26" s="44"/>
      <c r="S26" s="44"/>
      <c r="T26" s="44"/>
      <c r="U26" s="44"/>
      <c r="V26" s="44"/>
    </row>
    <row r="27" spans="17:25" x14ac:dyDescent="0.3">
      <c r="Q27" s="44"/>
      <c r="R27" s="44"/>
      <c r="S27" s="44"/>
      <c r="T27" s="44"/>
      <c r="U27" s="44"/>
      <c r="V27" s="44"/>
    </row>
    <row r="28" spans="17:25" x14ac:dyDescent="0.3">
      <c r="Q28" s="44"/>
      <c r="R28" s="44"/>
      <c r="S28" s="44"/>
      <c r="T28" s="44"/>
      <c r="U28" s="44"/>
      <c r="V28" s="44"/>
    </row>
    <row r="29" spans="17:25" x14ac:dyDescent="0.3">
      <c r="Q29" s="44"/>
      <c r="R29" s="44"/>
      <c r="S29" s="44"/>
      <c r="T29" s="44"/>
      <c r="U29" s="44"/>
      <c r="V29" s="44"/>
    </row>
    <row r="30" spans="17:25" x14ac:dyDescent="0.3">
      <c r="Q30" s="44"/>
      <c r="R30" s="44"/>
      <c r="S30" s="44"/>
      <c r="T30" s="44"/>
      <c r="U30" s="44"/>
      <c r="V30" s="44"/>
    </row>
    <row r="31" spans="17:25" x14ac:dyDescent="0.3">
      <c r="Q31" s="44"/>
      <c r="R31" s="44"/>
      <c r="S31" s="44"/>
      <c r="T31" s="44"/>
      <c r="U31" s="44"/>
      <c r="V31" s="44"/>
    </row>
    <row r="32" spans="17:25" x14ac:dyDescent="0.3">
      <c r="Q32" s="44"/>
      <c r="R32" s="44"/>
      <c r="S32" s="44"/>
      <c r="T32" s="44"/>
      <c r="U32" s="44"/>
      <c r="V32" s="44"/>
    </row>
    <row r="33" spans="17:22" x14ac:dyDescent="0.3">
      <c r="Q33" s="44"/>
      <c r="R33" s="44"/>
      <c r="S33" s="44"/>
      <c r="T33" s="44"/>
      <c r="U33" s="44"/>
      <c r="V33" s="44"/>
    </row>
    <row r="34" spans="17:22" x14ac:dyDescent="0.3">
      <c r="Q34" s="44"/>
      <c r="R34" s="44"/>
      <c r="S34" s="44"/>
      <c r="T34" s="44"/>
      <c r="U34" s="44"/>
      <c r="V34" s="44"/>
    </row>
    <row r="35" spans="17:22" x14ac:dyDescent="0.3">
      <c r="Q35" s="44"/>
      <c r="R35" s="44"/>
      <c r="S35" s="44"/>
      <c r="T35" s="44"/>
      <c r="U35" s="44"/>
      <c r="V35" s="44"/>
    </row>
    <row r="36" spans="17:22" x14ac:dyDescent="0.3">
      <c r="Q36" s="44"/>
      <c r="R36" s="44"/>
      <c r="S36" s="44"/>
      <c r="T36" s="44"/>
      <c r="U36" s="44"/>
      <c r="V36" s="44"/>
    </row>
    <row r="37" spans="17:22" x14ac:dyDescent="0.3">
      <c r="Q37" s="44"/>
      <c r="R37" s="44"/>
      <c r="S37" s="44"/>
      <c r="T37" s="44"/>
      <c r="U37" s="44"/>
      <c r="V37" s="44"/>
    </row>
    <row r="38" spans="17:22" x14ac:dyDescent="0.3">
      <c r="Q38" s="44"/>
      <c r="R38" s="44"/>
      <c r="S38" s="44"/>
      <c r="T38" s="44"/>
      <c r="U38" s="44"/>
      <c r="V38" s="44"/>
    </row>
    <row r="39" spans="17:22" x14ac:dyDescent="0.3">
      <c r="Q39" s="44"/>
      <c r="R39" s="44"/>
      <c r="S39" s="44"/>
      <c r="T39" s="44"/>
      <c r="U39" s="44"/>
      <c r="V39" s="44"/>
    </row>
    <row r="40" spans="17:22" x14ac:dyDescent="0.3">
      <c r="Q40" s="44"/>
      <c r="R40" s="44"/>
      <c r="S40" s="44"/>
      <c r="T40" s="44"/>
      <c r="U40" s="44"/>
      <c r="V40" s="44"/>
    </row>
  </sheetData>
  <mergeCells count="1">
    <mergeCell ref="A2:U2"/>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22"/>
  <sheetViews>
    <sheetView zoomScale="90" zoomScaleNormal="90" zoomScalePageLayoutView="150" workbookViewId="0">
      <pane ySplit="2" topLeftCell="A63" activePane="bottomLeft" state="frozen"/>
      <selection pane="bottomLeft" activeCell="A63" sqref="A63"/>
    </sheetView>
  </sheetViews>
  <sheetFormatPr defaultColWidth="11.19921875" defaultRowHeight="15.6" x14ac:dyDescent="0.3"/>
  <cols>
    <col min="1" max="1" width="8.19921875" bestFit="1" customWidth="1"/>
    <col min="2" max="2" width="8.296875" bestFit="1" customWidth="1"/>
    <col min="3" max="3" width="8.5" bestFit="1" customWidth="1"/>
    <col min="4" max="4" width="12.19921875" bestFit="1" customWidth="1"/>
    <col min="5" max="5" width="4" bestFit="1" customWidth="1"/>
    <col min="6" max="6" width="4.19921875" bestFit="1" customWidth="1"/>
    <col min="7" max="7" width="3.19921875" bestFit="1" customWidth="1"/>
    <col min="8" max="8" width="9.69921875" customWidth="1"/>
    <col min="9" max="9" width="9.296875" bestFit="1" customWidth="1"/>
    <col min="10" max="10" width="7.19921875" bestFit="1" customWidth="1"/>
    <col min="11" max="11" width="5.796875" bestFit="1" customWidth="1"/>
    <col min="12" max="12" width="5.796875" customWidth="1"/>
    <col min="13" max="13" width="78.796875" bestFit="1" customWidth="1"/>
    <col min="15" max="15" width="2.19921875" bestFit="1" customWidth="1"/>
  </cols>
  <sheetData>
    <row r="1" spans="1:17" ht="16.2" thickBot="1" x14ac:dyDescent="0.35">
      <c r="A1" t="s">
        <v>28</v>
      </c>
      <c r="B1" s="2">
        <f ca="1">SUMIF(Tabel1[[#All],[Mdr.]],MONTH(TODAY()),Tabel1[[#All],[Distance]])</f>
        <v>42.25</v>
      </c>
      <c r="C1" t="s">
        <v>47</v>
      </c>
      <c r="D1" s="56">
        <f>SUBTOTAL(9,Tabel1[[#All],[Distance]])</f>
        <v>1940.6</v>
      </c>
    </row>
    <row r="2" spans="1:17" ht="18.600000000000001" thickBot="1" x14ac:dyDescent="0.4">
      <c r="A2" s="25" t="s">
        <v>0</v>
      </c>
      <c r="B2" s="26" t="s">
        <v>1</v>
      </c>
      <c r="C2" s="27" t="s">
        <v>2</v>
      </c>
      <c r="D2" s="28" t="s">
        <v>3</v>
      </c>
      <c r="E2" s="29" t="s">
        <v>6</v>
      </c>
      <c r="F2" s="29" t="s">
        <v>7</v>
      </c>
      <c r="G2" s="29" t="s">
        <v>8</v>
      </c>
      <c r="H2" s="65" t="s">
        <v>63</v>
      </c>
      <c r="I2" s="42" t="s">
        <v>4</v>
      </c>
      <c r="J2" s="30" t="s">
        <v>5</v>
      </c>
      <c r="K2" s="31" t="s">
        <v>37</v>
      </c>
      <c r="L2" s="50" t="s">
        <v>46</v>
      </c>
      <c r="M2" s="43" t="s">
        <v>33</v>
      </c>
      <c r="O2" s="34"/>
      <c r="P2" s="2"/>
      <c r="Q2" s="32"/>
    </row>
    <row r="3" spans="1:17" x14ac:dyDescent="0.3">
      <c r="A3" s="123">
        <v>43104</v>
      </c>
      <c r="B3" s="13" t="str">
        <f>TEXT(WEEKDAY(A3,1),"dddd")</f>
        <v>torsdag</v>
      </c>
      <c r="C3" s="14" t="s">
        <v>14</v>
      </c>
      <c r="D3" s="15">
        <v>10.18</v>
      </c>
      <c r="E3" s="16">
        <v>1</v>
      </c>
      <c r="F3" s="16">
        <v>4</v>
      </c>
      <c r="G3" s="16">
        <v>21</v>
      </c>
      <c r="H3" s="66">
        <f t="shared" ref="H3:H9" si="0">IF(D3 &lt;&gt;0,TIME(E3,F3,G3)/D3,0)</f>
        <v>4.3897347740667978E-3</v>
      </c>
      <c r="I3" s="39">
        <v>0</v>
      </c>
      <c r="J3" s="23" t="s">
        <v>116</v>
      </c>
      <c r="K3" s="24">
        <f t="shared" ref="K3:K7" si="1">IF(A3="",0,MONTH(A3))</f>
        <v>1</v>
      </c>
      <c r="L3" s="51">
        <f>IF(A3="",0,_xlfn.ISOWEEKNUM(A3))</f>
        <v>1</v>
      </c>
      <c r="M3" s="37" t="s">
        <v>43</v>
      </c>
      <c r="P3">
        <f>IF(A3="",0,_xlfn.ISOWEEKNUM(A3))</f>
        <v>1</v>
      </c>
    </row>
    <row r="4" spans="1:17" x14ac:dyDescent="0.3">
      <c r="A4" s="124">
        <v>43106</v>
      </c>
      <c r="B4" s="13" t="str">
        <f t="shared" ref="B4:B8" si="2">TEXT(WEEKDAY(A4,1),"dddd")</f>
        <v>lørdag</v>
      </c>
      <c r="C4" s="17" t="s">
        <v>14</v>
      </c>
      <c r="D4" s="18">
        <v>10.1</v>
      </c>
      <c r="E4" s="19">
        <v>1</v>
      </c>
      <c r="F4" s="19">
        <v>5</v>
      </c>
      <c r="G4" s="19">
        <v>53</v>
      </c>
      <c r="H4" s="67">
        <f t="shared" si="0"/>
        <v>4.5299321598826553E-3</v>
      </c>
      <c r="I4" s="39">
        <v>0</v>
      </c>
      <c r="J4" s="20" t="s">
        <v>116</v>
      </c>
      <c r="K4" s="21">
        <f t="shared" si="1"/>
        <v>1</v>
      </c>
      <c r="L4" s="51">
        <f t="shared" ref="L4:L67" si="3">IF(A4="",0,_xlfn.ISOWEEKNUM(A4))</f>
        <v>1</v>
      </c>
      <c r="M4" s="38" t="s">
        <v>43</v>
      </c>
    </row>
    <row r="5" spans="1:17" x14ac:dyDescent="0.3">
      <c r="A5" s="124">
        <v>43107</v>
      </c>
      <c r="B5" s="13" t="str">
        <f t="shared" si="2"/>
        <v>søndag</v>
      </c>
      <c r="C5" s="17" t="s">
        <v>15</v>
      </c>
      <c r="D5" s="18">
        <v>16.03</v>
      </c>
      <c r="E5" s="19">
        <v>1</v>
      </c>
      <c r="F5" s="19">
        <v>33</v>
      </c>
      <c r="G5" s="19">
        <v>48</v>
      </c>
      <c r="H5" s="67">
        <f t="shared" si="0"/>
        <v>4.0635613779718581E-3</v>
      </c>
      <c r="I5" s="39">
        <v>0</v>
      </c>
      <c r="J5" s="20" t="s">
        <v>116</v>
      </c>
      <c r="K5" s="21">
        <f t="shared" si="1"/>
        <v>1</v>
      </c>
      <c r="L5" s="51">
        <f t="shared" si="3"/>
        <v>1</v>
      </c>
      <c r="M5" s="38" t="s">
        <v>128</v>
      </c>
    </row>
    <row r="6" spans="1:17" x14ac:dyDescent="0.3">
      <c r="A6" s="124">
        <v>43108</v>
      </c>
      <c r="B6" s="13" t="str">
        <f t="shared" si="2"/>
        <v>mandag</v>
      </c>
      <c r="C6" s="17" t="s">
        <v>14</v>
      </c>
      <c r="D6" s="18">
        <v>10.25</v>
      </c>
      <c r="E6" s="19">
        <v>1</v>
      </c>
      <c r="F6" s="19">
        <v>4</v>
      </c>
      <c r="G6" s="19">
        <v>57</v>
      </c>
      <c r="H6" s="67">
        <f t="shared" si="0"/>
        <v>4.4004065040650405E-3</v>
      </c>
      <c r="I6" s="39">
        <v>0</v>
      </c>
      <c r="J6" s="20" t="s">
        <v>116</v>
      </c>
      <c r="K6" s="21">
        <f t="shared" si="1"/>
        <v>1</v>
      </c>
      <c r="L6" s="51">
        <f t="shared" si="3"/>
        <v>2</v>
      </c>
      <c r="M6" s="38" t="s">
        <v>43</v>
      </c>
    </row>
    <row r="7" spans="1:17" x14ac:dyDescent="0.3">
      <c r="A7" s="124">
        <v>43113</v>
      </c>
      <c r="B7" s="13" t="str">
        <f t="shared" si="2"/>
        <v>lørdag</v>
      </c>
      <c r="C7" s="17" t="s">
        <v>10</v>
      </c>
      <c r="D7" s="18">
        <v>42.22</v>
      </c>
      <c r="E7" s="19">
        <v>5</v>
      </c>
      <c r="F7" s="19">
        <v>6</v>
      </c>
      <c r="G7" s="19">
        <v>49</v>
      </c>
      <c r="H7" s="67">
        <f t="shared" si="0"/>
        <v>5.0465923645104131E-3</v>
      </c>
      <c r="I7" s="39">
        <v>0</v>
      </c>
      <c r="J7" s="20" t="s">
        <v>116</v>
      </c>
      <c r="K7" s="21">
        <f t="shared" si="1"/>
        <v>1</v>
      </c>
      <c r="L7" s="51">
        <f t="shared" si="3"/>
        <v>2</v>
      </c>
      <c r="M7" s="38" t="s">
        <v>129</v>
      </c>
    </row>
    <row r="8" spans="1:17" x14ac:dyDescent="0.3">
      <c r="A8" s="124">
        <v>43114</v>
      </c>
      <c r="B8" s="13" t="str">
        <f t="shared" si="2"/>
        <v>søndag</v>
      </c>
      <c r="C8" s="17" t="s">
        <v>15</v>
      </c>
      <c r="D8" s="18">
        <v>19.100000000000001</v>
      </c>
      <c r="E8" s="19">
        <v>1</v>
      </c>
      <c r="F8" s="19">
        <v>50</v>
      </c>
      <c r="G8" s="19">
        <v>52</v>
      </c>
      <c r="H8" s="67">
        <f t="shared" si="0"/>
        <v>4.0309288345937557E-3</v>
      </c>
      <c r="I8" s="39">
        <v>0</v>
      </c>
      <c r="J8" s="20" t="s">
        <v>116</v>
      </c>
      <c r="K8" s="21">
        <f t="shared" ref="K8:K9" si="4">IF(A8="",0,MONTH(A8))</f>
        <v>1</v>
      </c>
      <c r="L8" s="51">
        <f t="shared" si="3"/>
        <v>2</v>
      </c>
      <c r="M8" s="38" t="s">
        <v>128</v>
      </c>
    </row>
    <row r="9" spans="1:17" x14ac:dyDescent="0.3">
      <c r="A9" s="125">
        <v>43117</v>
      </c>
      <c r="B9" s="55" t="str">
        <f t="shared" ref="B9" si="5">TEXT(WEEKDAY(A9,1),"dddd")</f>
        <v>onsdag</v>
      </c>
      <c r="C9" s="10" t="s">
        <v>10</v>
      </c>
      <c r="D9" s="11">
        <v>42.39</v>
      </c>
      <c r="E9" s="12">
        <v>5</v>
      </c>
      <c r="F9" s="12">
        <v>15</v>
      </c>
      <c r="G9" s="12">
        <v>8</v>
      </c>
      <c r="H9" s="67">
        <f t="shared" si="0"/>
        <v>5.1625994949892097E-3</v>
      </c>
      <c r="I9" s="40">
        <v>0</v>
      </c>
      <c r="J9" s="22" t="s">
        <v>120</v>
      </c>
      <c r="K9" s="21">
        <f t="shared" si="4"/>
        <v>1</v>
      </c>
      <c r="L9" s="51">
        <f t="shared" si="3"/>
        <v>3</v>
      </c>
      <c r="M9" s="41" t="s">
        <v>132</v>
      </c>
    </row>
    <row r="10" spans="1:17" x14ac:dyDescent="0.3">
      <c r="A10" s="124">
        <v>43121</v>
      </c>
      <c r="B10" s="55" t="str">
        <f t="shared" ref="B10:B13" si="6">TEXT(WEEKDAY(A10,1),"dddd")</f>
        <v>søndag</v>
      </c>
      <c r="C10" s="17" t="s">
        <v>10</v>
      </c>
      <c r="D10" s="18">
        <v>10.23</v>
      </c>
      <c r="E10" s="19">
        <v>1</v>
      </c>
      <c r="F10" s="19">
        <v>0</v>
      </c>
      <c r="G10" s="19">
        <v>0</v>
      </c>
      <c r="H10" s="67">
        <f t="shared" ref="H10:H13" si="7">IF(D10 &lt;&gt;0,TIME(E10,F10,G10)/D10,0)</f>
        <v>4.0729879439556855E-3</v>
      </c>
      <c r="I10" s="39">
        <v>0</v>
      </c>
      <c r="J10" s="20" t="s">
        <v>116</v>
      </c>
      <c r="K10" s="119">
        <f t="shared" ref="K10:K13" si="8">IF(A10="",0,MONTH(A10))</f>
        <v>1</v>
      </c>
      <c r="L10" s="51">
        <f t="shared" si="3"/>
        <v>3</v>
      </c>
      <c r="M10" s="38" t="s">
        <v>133</v>
      </c>
    </row>
    <row r="11" spans="1:17" x14ac:dyDescent="0.3">
      <c r="A11" s="124">
        <v>43123</v>
      </c>
      <c r="B11" s="55" t="str">
        <f t="shared" si="6"/>
        <v>tirsdag</v>
      </c>
      <c r="C11" s="17" t="s">
        <v>14</v>
      </c>
      <c r="D11" s="18">
        <v>10.38</v>
      </c>
      <c r="E11" s="19">
        <v>1</v>
      </c>
      <c r="F11" s="19">
        <v>4</v>
      </c>
      <c r="G11" s="19">
        <v>12</v>
      </c>
      <c r="H11" s="67">
        <f t="shared" si="7"/>
        <v>4.2951188182402053E-3</v>
      </c>
      <c r="I11" s="39">
        <v>0</v>
      </c>
      <c r="J11" s="20" t="s">
        <v>116</v>
      </c>
      <c r="K11" s="119">
        <f t="shared" si="8"/>
        <v>1</v>
      </c>
      <c r="L11" s="51">
        <f t="shared" si="3"/>
        <v>4</v>
      </c>
      <c r="M11" s="38" t="s">
        <v>43</v>
      </c>
    </row>
    <row r="12" spans="1:17" x14ac:dyDescent="0.3">
      <c r="A12" s="124">
        <v>43125</v>
      </c>
      <c r="B12" s="55" t="str">
        <f t="shared" si="6"/>
        <v>torsdag</v>
      </c>
      <c r="C12" s="17" t="s">
        <v>14</v>
      </c>
      <c r="D12" s="18">
        <v>10.32</v>
      </c>
      <c r="E12" s="19">
        <v>1</v>
      </c>
      <c r="F12" s="19">
        <v>7</v>
      </c>
      <c r="G12" s="19">
        <v>32</v>
      </c>
      <c r="H12" s="67">
        <f t="shared" si="7"/>
        <v>4.5443942004019531E-3</v>
      </c>
      <c r="I12" s="39">
        <v>0</v>
      </c>
      <c r="J12" s="20" t="s">
        <v>116</v>
      </c>
      <c r="K12" s="119">
        <f t="shared" si="8"/>
        <v>1</v>
      </c>
      <c r="L12" s="51">
        <f t="shared" si="3"/>
        <v>4</v>
      </c>
      <c r="M12" s="38" t="s">
        <v>43</v>
      </c>
    </row>
    <row r="13" spans="1:17" x14ac:dyDescent="0.3">
      <c r="A13" s="125">
        <v>43128</v>
      </c>
      <c r="B13" s="55" t="str">
        <f t="shared" si="6"/>
        <v>søndag</v>
      </c>
      <c r="C13" s="10" t="s">
        <v>15</v>
      </c>
      <c r="D13" s="11">
        <v>21.1</v>
      </c>
      <c r="E13" s="12">
        <v>2</v>
      </c>
      <c r="F13" s="12">
        <v>5</v>
      </c>
      <c r="G13" s="12">
        <v>27</v>
      </c>
      <c r="H13" s="68">
        <f t="shared" si="7"/>
        <v>4.1288177988414955E-3</v>
      </c>
      <c r="I13" s="40">
        <v>0</v>
      </c>
      <c r="J13" s="22" t="s">
        <v>116</v>
      </c>
      <c r="K13" s="49">
        <f t="shared" si="8"/>
        <v>1</v>
      </c>
      <c r="L13" s="51">
        <f t="shared" si="3"/>
        <v>4</v>
      </c>
      <c r="M13" s="41" t="s">
        <v>128</v>
      </c>
    </row>
    <row r="14" spans="1:17" x14ac:dyDescent="0.3">
      <c r="A14" s="125">
        <v>43129</v>
      </c>
      <c r="B14" s="55" t="str">
        <f>TEXT(WEEKDAY(A14,1),"dddd")</f>
        <v>mandag</v>
      </c>
      <c r="C14" s="10" t="s">
        <v>14</v>
      </c>
      <c r="D14" s="11">
        <v>11.01</v>
      </c>
      <c r="E14" s="12">
        <v>1</v>
      </c>
      <c r="F14" s="12">
        <v>7</v>
      </c>
      <c r="G14" s="12">
        <v>38</v>
      </c>
      <c r="H14" s="68">
        <f>IF(D14 &lt;&gt;0,TIME(E14,F14,G14)/D14,0)</f>
        <v>4.2659030510983275E-3</v>
      </c>
      <c r="I14" s="40">
        <v>0</v>
      </c>
      <c r="J14" s="22" t="s">
        <v>116</v>
      </c>
      <c r="K14" s="49">
        <f>IF(A14="",0,MONTH(A14))</f>
        <v>1</v>
      </c>
      <c r="L14" s="51">
        <f t="shared" si="3"/>
        <v>5</v>
      </c>
      <c r="M14" s="41" t="s">
        <v>43</v>
      </c>
    </row>
    <row r="15" spans="1:17" x14ac:dyDescent="0.3">
      <c r="A15" s="125">
        <v>43132</v>
      </c>
      <c r="B15" s="55" t="str">
        <f>TEXT(WEEKDAY(A15,1),"dddd")</f>
        <v>torsdag</v>
      </c>
      <c r="C15" s="10" t="s">
        <v>10</v>
      </c>
      <c r="D15" s="11">
        <v>42.45</v>
      </c>
      <c r="E15" s="12">
        <v>4</v>
      </c>
      <c r="F15" s="12">
        <v>59</v>
      </c>
      <c r="G15" s="12">
        <v>21</v>
      </c>
      <c r="H15" s="68">
        <f>IF(D15 &lt;&gt;0,TIME(E15,F15,G15)/D15,0)</f>
        <v>4.8971011647690093E-3</v>
      </c>
      <c r="I15" s="40">
        <v>0</v>
      </c>
      <c r="J15" s="22" t="s">
        <v>120</v>
      </c>
      <c r="K15" s="49">
        <f>IF(A15="",0,MONTH(A15))</f>
        <v>2</v>
      </c>
      <c r="L15" s="51">
        <f t="shared" si="3"/>
        <v>5</v>
      </c>
      <c r="M15" s="41" t="s">
        <v>134</v>
      </c>
    </row>
    <row r="16" spans="1:17" x14ac:dyDescent="0.3">
      <c r="A16" s="124">
        <v>43135</v>
      </c>
      <c r="B16" s="55" t="str">
        <f t="shared" ref="B16:B20" si="9">TEXT(WEEKDAY(A16,1),"dddd")</f>
        <v>søndag</v>
      </c>
      <c r="C16" s="17" t="s">
        <v>15</v>
      </c>
      <c r="D16" s="18">
        <v>23.15</v>
      </c>
      <c r="E16" s="19">
        <v>2</v>
      </c>
      <c r="F16" s="19">
        <v>17</v>
      </c>
      <c r="G16" s="19">
        <v>27</v>
      </c>
      <c r="H16" s="67">
        <f t="shared" ref="H16:H20" si="10">IF(D16 &lt;&gt;0,TIME(E16,F16,G16)/D16,0)</f>
        <v>4.1231701463882893E-3</v>
      </c>
      <c r="I16" s="39">
        <v>0</v>
      </c>
      <c r="J16" s="20" t="s">
        <v>116</v>
      </c>
      <c r="K16" s="119">
        <f t="shared" ref="K16:K20" si="11">IF(A16="",0,MONTH(A16))</f>
        <v>2</v>
      </c>
      <c r="L16" s="51">
        <f t="shared" si="3"/>
        <v>5</v>
      </c>
      <c r="M16" s="38" t="s">
        <v>128</v>
      </c>
    </row>
    <row r="17" spans="1:13" x14ac:dyDescent="0.3">
      <c r="A17" s="124">
        <v>43139</v>
      </c>
      <c r="B17" s="55" t="str">
        <f t="shared" si="9"/>
        <v>torsdag</v>
      </c>
      <c r="C17" s="17" t="s">
        <v>14</v>
      </c>
      <c r="D17" s="18">
        <v>10.39</v>
      </c>
      <c r="E17" s="19">
        <v>1</v>
      </c>
      <c r="F17" s="19">
        <v>4</v>
      </c>
      <c r="G17" s="19">
        <v>45</v>
      </c>
      <c r="H17" s="67">
        <f t="shared" si="10"/>
        <v>4.327745695647524E-3</v>
      </c>
      <c r="I17" s="39">
        <v>0</v>
      </c>
      <c r="J17" s="20" t="s">
        <v>116</v>
      </c>
      <c r="K17" s="119">
        <f t="shared" si="11"/>
        <v>2</v>
      </c>
      <c r="L17" s="51">
        <f t="shared" si="3"/>
        <v>6</v>
      </c>
      <c r="M17" s="38" t="s">
        <v>43</v>
      </c>
    </row>
    <row r="18" spans="1:13" x14ac:dyDescent="0.3">
      <c r="A18" s="124">
        <v>43142</v>
      </c>
      <c r="B18" s="55" t="str">
        <f t="shared" si="9"/>
        <v>søndag</v>
      </c>
      <c r="C18" s="17" t="s">
        <v>15</v>
      </c>
      <c r="D18" s="18">
        <v>22.08</v>
      </c>
      <c r="E18" s="19">
        <v>2</v>
      </c>
      <c r="F18" s="19">
        <v>13</v>
      </c>
      <c r="G18" s="19">
        <v>15</v>
      </c>
      <c r="H18" s="67">
        <f t="shared" si="10"/>
        <v>4.1908841586151364E-3</v>
      </c>
      <c r="I18" s="39">
        <v>0</v>
      </c>
      <c r="J18" s="20" t="s">
        <v>116</v>
      </c>
      <c r="K18" s="119">
        <f t="shared" si="11"/>
        <v>2</v>
      </c>
      <c r="L18" s="51">
        <f t="shared" si="3"/>
        <v>6</v>
      </c>
      <c r="M18" s="38" t="s">
        <v>128</v>
      </c>
    </row>
    <row r="19" spans="1:13" x14ac:dyDescent="0.3">
      <c r="A19" s="124">
        <v>43146</v>
      </c>
      <c r="B19" s="55" t="str">
        <f t="shared" si="9"/>
        <v>torsdag</v>
      </c>
      <c r="C19" s="17" t="s">
        <v>10</v>
      </c>
      <c r="D19" s="18">
        <v>42.33</v>
      </c>
      <c r="E19" s="19">
        <v>4</v>
      </c>
      <c r="F19" s="19">
        <v>58</v>
      </c>
      <c r="G19" s="19">
        <v>0</v>
      </c>
      <c r="H19" s="67">
        <f t="shared" si="10"/>
        <v>4.8888363913169022E-3</v>
      </c>
      <c r="I19" s="39">
        <v>0</v>
      </c>
      <c r="J19" s="20" t="s">
        <v>120</v>
      </c>
      <c r="K19" s="119">
        <f t="shared" si="11"/>
        <v>2</v>
      </c>
      <c r="L19" s="51">
        <f t="shared" si="3"/>
        <v>7</v>
      </c>
      <c r="M19" s="38" t="s">
        <v>140</v>
      </c>
    </row>
    <row r="20" spans="1:13" x14ac:dyDescent="0.3">
      <c r="A20" s="125">
        <v>43149</v>
      </c>
      <c r="B20" s="55" t="str">
        <f t="shared" si="9"/>
        <v>søndag</v>
      </c>
      <c r="C20" s="10" t="s">
        <v>15</v>
      </c>
      <c r="D20" s="11">
        <v>24.12</v>
      </c>
      <c r="E20" s="12">
        <v>2</v>
      </c>
      <c r="F20" s="12">
        <v>24</v>
      </c>
      <c r="G20" s="12">
        <v>10</v>
      </c>
      <c r="H20" s="68">
        <f t="shared" si="10"/>
        <v>4.1507355199312083E-3</v>
      </c>
      <c r="I20" s="40">
        <v>0</v>
      </c>
      <c r="J20" s="22" t="s">
        <v>116</v>
      </c>
      <c r="K20" s="49">
        <f t="shared" si="11"/>
        <v>2</v>
      </c>
      <c r="L20" s="51">
        <f t="shared" si="3"/>
        <v>7</v>
      </c>
      <c r="M20" s="41" t="s">
        <v>128</v>
      </c>
    </row>
    <row r="21" spans="1:13" x14ac:dyDescent="0.3">
      <c r="A21" s="124">
        <v>43151</v>
      </c>
      <c r="B21" s="55" t="str">
        <f t="shared" ref="B21:B22" si="12">TEXT(WEEKDAY(A21,1),"dddd")</f>
        <v>tirsdag</v>
      </c>
      <c r="C21" s="17" t="s">
        <v>14</v>
      </c>
      <c r="D21" s="18">
        <v>10.35</v>
      </c>
      <c r="E21" s="19">
        <v>1</v>
      </c>
      <c r="F21" s="19">
        <v>4</v>
      </c>
      <c r="G21" s="19">
        <v>53</v>
      </c>
      <c r="H21" s="67">
        <f t="shared" ref="H21:H22" si="13">IF(D21 &lt;&gt;0,TIME(E21,F21,G21)/D21,0)</f>
        <v>4.353417427088925E-3</v>
      </c>
      <c r="I21" s="39">
        <v>0</v>
      </c>
      <c r="J21" s="20" t="s">
        <v>136</v>
      </c>
      <c r="K21" s="119">
        <f t="shared" ref="K21:K22" si="14">IF(A21="",0,MONTH(A21))</f>
        <v>2</v>
      </c>
      <c r="L21" s="51">
        <f t="shared" si="3"/>
        <v>8</v>
      </c>
      <c r="M21" s="38" t="s">
        <v>43</v>
      </c>
    </row>
    <row r="22" spans="1:13" x14ac:dyDescent="0.3">
      <c r="A22" s="125">
        <v>43155</v>
      </c>
      <c r="B22" s="55" t="str">
        <f t="shared" si="12"/>
        <v>lørdag</v>
      </c>
      <c r="C22" s="10" t="s">
        <v>10</v>
      </c>
      <c r="D22" s="11">
        <v>42.5</v>
      </c>
      <c r="E22" s="12">
        <v>4</v>
      </c>
      <c r="F22" s="12">
        <v>56</v>
      </c>
      <c r="G22" s="12">
        <v>13</v>
      </c>
      <c r="H22" s="68">
        <f t="shared" si="13"/>
        <v>4.8401416122004362E-3</v>
      </c>
      <c r="I22" s="40">
        <v>0</v>
      </c>
      <c r="J22" s="22" t="s">
        <v>120</v>
      </c>
      <c r="K22" s="49">
        <f t="shared" si="14"/>
        <v>2</v>
      </c>
      <c r="L22" s="51">
        <f t="shared" si="3"/>
        <v>8</v>
      </c>
      <c r="M22" s="41" t="s">
        <v>137</v>
      </c>
    </row>
    <row r="23" spans="1:13" x14ac:dyDescent="0.3">
      <c r="A23" s="124">
        <v>43155</v>
      </c>
      <c r="B23" s="55" t="str">
        <f t="shared" ref="B23:B26" si="15">TEXT(WEEKDAY(A23,1),"dddd")</f>
        <v>lørdag</v>
      </c>
      <c r="C23" s="17" t="s">
        <v>10</v>
      </c>
      <c r="D23" s="18">
        <v>15.33</v>
      </c>
      <c r="E23" s="19">
        <v>1</v>
      </c>
      <c r="F23" s="19">
        <v>29</v>
      </c>
      <c r="G23" s="19">
        <v>29</v>
      </c>
      <c r="H23" s="67">
        <f t="shared" ref="H23:H26" si="16">IF(D23 &lt;&gt;0,TIME(E23,F23,G23)/D23,0)</f>
        <v>4.0535684085912394E-3</v>
      </c>
      <c r="I23" s="39">
        <v>0</v>
      </c>
      <c r="J23" s="20" t="s">
        <v>116</v>
      </c>
      <c r="K23" s="119">
        <f t="shared" ref="K23:K26" si="17">IF(A23="",0,MONTH(A23))</f>
        <v>2</v>
      </c>
      <c r="L23" s="51">
        <f t="shared" si="3"/>
        <v>8</v>
      </c>
      <c r="M23" s="38" t="s">
        <v>138</v>
      </c>
    </row>
    <row r="24" spans="1:13" x14ac:dyDescent="0.3">
      <c r="A24" s="124">
        <v>43160</v>
      </c>
      <c r="B24" s="55" t="str">
        <f t="shared" si="15"/>
        <v>torsdag</v>
      </c>
      <c r="C24" s="17" t="s">
        <v>10</v>
      </c>
      <c r="D24" s="18">
        <v>42.3</v>
      </c>
      <c r="E24" s="19">
        <v>5</v>
      </c>
      <c r="F24" s="19">
        <v>22</v>
      </c>
      <c r="G24" s="19">
        <v>54</v>
      </c>
      <c r="H24" s="67">
        <f t="shared" si="16"/>
        <v>5.3010900971893881E-3</v>
      </c>
      <c r="I24" s="39">
        <v>0</v>
      </c>
      <c r="J24" s="20" t="s">
        <v>120</v>
      </c>
      <c r="K24" s="119">
        <f t="shared" si="17"/>
        <v>3</v>
      </c>
      <c r="L24" s="51">
        <f t="shared" si="3"/>
        <v>9</v>
      </c>
      <c r="M24" s="38" t="s">
        <v>139</v>
      </c>
    </row>
    <row r="25" spans="1:13" x14ac:dyDescent="0.3">
      <c r="A25" s="124">
        <v>43163</v>
      </c>
      <c r="B25" s="55" t="str">
        <f t="shared" si="15"/>
        <v>søndag</v>
      </c>
      <c r="C25" s="17" t="s">
        <v>15</v>
      </c>
      <c r="D25" s="18">
        <v>24.47</v>
      </c>
      <c r="E25" s="19">
        <v>2</v>
      </c>
      <c r="F25" s="19">
        <v>26</v>
      </c>
      <c r="G25" s="19">
        <v>33</v>
      </c>
      <c r="H25" s="67">
        <f t="shared" si="16"/>
        <v>4.1590042228579214E-3</v>
      </c>
      <c r="I25" s="39">
        <v>0</v>
      </c>
      <c r="J25" s="20" t="s">
        <v>116</v>
      </c>
      <c r="K25" s="119">
        <f t="shared" si="17"/>
        <v>3</v>
      </c>
      <c r="L25" s="51">
        <f t="shared" si="3"/>
        <v>9</v>
      </c>
      <c r="M25" s="38" t="s">
        <v>128</v>
      </c>
    </row>
    <row r="26" spans="1:13" x14ac:dyDescent="0.3">
      <c r="A26" s="125">
        <v>43170</v>
      </c>
      <c r="B26" s="55" t="str">
        <f t="shared" si="15"/>
        <v>søndag</v>
      </c>
      <c r="C26" s="10" t="s">
        <v>15</v>
      </c>
      <c r="D26" s="11">
        <v>10.050000000000001</v>
      </c>
      <c r="E26" s="12">
        <v>1</v>
      </c>
      <c r="F26" s="12">
        <v>0</v>
      </c>
      <c r="G26" s="12">
        <v>25</v>
      </c>
      <c r="H26" s="68">
        <f t="shared" si="16"/>
        <v>4.1747282107978618E-3</v>
      </c>
      <c r="I26" s="40">
        <v>0</v>
      </c>
      <c r="J26" s="22" t="s">
        <v>116</v>
      </c>
      <c r="K26" s="49">
        <f t="shared" si="17"/>
        <v>3</v>
      </c>
      <c r="L26" s="51">
        <f t="shared" si="3"/>
        <v>10</v>
      </c>
      <c r="M26" s="41" t="s">
        <v>43</v>
      </c>
    </row>
    <row r="27" spans="1:13" x14ac:dyDescent="0.3">
      <c r="A27" s="124">
        <v>43177</v>
      </c>
      <c r="B27" s="55" t="str">
        <f t="shared" ref="B27:B29" si="18">TEXT(WEEKDAY(A27,1),"dddd")</f>
        <v>søndag</v>
      </c>
      <c r="C27" s="17" t="s">
        <v>15</v>
      </c>
      <c r="D27" s="18">
        <v>21.66</v>
      </c>
      <c r="E27" s="19">
        <v>2</v>
      </c>
      <c r="F27" s="19">
        <v>30</v>
      </c>
      <c r="G27" s="19">
        <v>0</v>
      </c>
      <c r="H27" s="67">
        <f t="shared" ref="H27:H29" si="19">IF(D27 &lt;&gt;0,TIME(E27,F27,G27)/D27,0)</f>
        <v>4.809172052939366E-3</v>
      </c>
      <c r="I27" s="39">
        <v>0</v>
      </c>
      <c r="J27" s="20" t="s">
        <v>116</v>
      </c>
      <c r="K27" s="119">
        <f t="shared" ref="K27:K29" si="20">IF(A27="",0,MONTH(A27))</f>
        <v>3</v>
      </c>
      <c r="L27" s="51">
        <f t="shared" si="3"/>
        <v>11</v>
      </c>
      <c r="M27" s="38" t="s">
        <v>141</v>
      </c>
    </row>
    <row r="28" spans="1:13" x14ac:dyDescent="0.3">
      <c r="A28" s="124">
        <v>43184</v>
      </c>
      <c r="B28" s="55" t="str">
        <f t="shared" si="18"/>
        <v>søndag</v>
      </c>
      <c r="C28" s="17" t="s">
        <v>15</v>
      </c>
      <c r="D28" s="18">
        <v>26.26</v>
      </c>
      <c r="E28" s="19">
        <v>2</v>
      </c>
      <c r="F28" s="19">
        <v>37</v>
      </c>
      <c r="G28" s="19">
        <v>26</v>
      </c>
      <c r="H28" s="67">
        <f t="shared" si="19"/>
        <v>4.1633169727229129E-3</v>
      </c>
      <c r="I28" s="39">
        <v>0</v>
      </c>
      <c r="J28" s="20" t="s">
        <v>116</v>
      </c>
      <c r="K28" s="119">
        <f t="shared" si="20"/>
        <v>3</v>
      </c>
      <c r="L28" s="51">
        <f t="shared" si="3"/>
        <v>12</v>
      </c>
      <c r="M28" s="38" t="s">
        <v>128</v>
      </c>
    </row>
    <row r="29" spans="1:13" x14ac:dyDescent="0.3">
      <c r="A29" s="125">
        <v>43188</v>
      </c>
      <c r="B29" s="55" t="str">
        <f t="shared" si="18"/>
        <v>torsdag</v>
      </c>
      <c r="C29" s="10" t="s">
        <v>10</v>
      </c>
      <c r="D29" s="11">
        <v>42.27</v>
      </c>
      <c r="E29" s="12">
        <v>5</v>
      </c>
      <c r="F29" s="12">
        <v>36</v>
      </c>
      <c r="G29" s="12">
        <v>38</v>
      </c>
      <c r="H29" s="68">
        <f t="shared" si="19"/>
        <v>5.5304742878672366E-3</v>
      </c>
      <c r="I29" s="40">
        <v>0</v>
      </c>
      <c r="J29" s="22" t="s">
        <v>120</v>
      </c>
      <c r="K29" s="49">
        <f t="shared" si="20"/>
        <v>3</v>
      </c>
      <c r="L29" s="51">
        <f t="shared" si="3"/>
        <v>13</v>
      </c>
      <c r="M29" s="41" t="s">
        <v>142</v>
      </c>
    </row>
    <row r="30" spans="1:13" x14ac:dyDescent="0.3">
      <c r="A30" s="124">
        <v>43191</v>
      </c>
      <c r="B30" s="55" t="str">
        <f t="shared" ref="B30:B34" si="21">TEXT(WEEKDAY(A30,1),"dddd")</f>
        <v>søndag</v>
      </c>
      <c r="C30" s="17" t="s">
        <v>15</v>
      </c>
      <c r="D30" s="18">
        <v>28.01</v>
      </c>
      <c r="E30" s="19">
        <v>2</v>
      </c>
      <c r="F30" s="19">
        <v>47</v>
      </c>
      <c r="G30" s="19">
        <v>19</v>
      </c>
      <c r="H30" s="67">
        <f t="shared" ref="H30:H34" si="22">IF(D30 &lt;&gt;0,TIME(E30,F30,G30)/D30,0)</f>
        <v>4.1482374019860624E-3</v>
      </c>
      <c r="I30" s="39">
        <v>0</v>
      </c>
      <c r="J30" s="20" t="s">
        <v>116</v>
      </c>
      <c r="K30" s="119">
        <f t="shared" ref="K30:K34" si="23">IF(A30="",0,MONTH(A30))</f>
        <v>4</v>
      </c>
      <c r="L30" s="51">
        <f t="shared" si="3"/>
        <v>13</v>
      </c>
      <c r="M30" s="41" t="s">
        <v>128</v>
      </c>
    </row>
    <row r="31" spans="1:13" x14ac:dyDescent="0.3">
      <c r="A31" s="124">
        <v>43195</v>
      </c>
      <c r="B31" s="55" t="str">
        <f t="shared" si="21"/>
        <v>torsdag</v>
      </c>
      <c r="C31" s="17" t="s">
        <v>10</v>
      </c>
      <c r="D31" s="18">
        <v>42.23</v>
      </c>
      <c r="E31" s="19">
        <v>5</v>
      </c>
      <c r="F31" s="19">
        <v>11</v>
      </c>
      <c r="G31" s="19">
        <v>32</v>
      </c>
      <c r="H31" s="67">
        <f t="shared" si="22"/>
        <v>5.1229598056498366E-3</v>
      </c>
      <c r="I31" s="39">
        <v>0</v>
      </c>
      <c r="J31" s="20" t="s">
        <v>120</v>
      </c>
      <c r="K31" s="119">
        <f t="shared" si="23"/>
        <v>4</v>
      </c>
      <c r="L31" s="51">
        <f t="shared" si="3"/>
        <v>14</v>
      </c>
      <c r="M31" s="41" t="s">
        <v>143</v>
      </c>
    </row>
    <row r="32" spans="1:13" x14ac:dyDescent="0.3">
      <c r="A32" s="124">
        <v>43198</v>
      </c>
      <c r="B32" s="55" t="str">
        <f t="shared" si="21"/>
        <v>søndag</v>
      </c>
      <c r="C32" s="17" t="s">
        <v>15</v>
      </c>
      <c r="D32" s="18">
        <v>23.01</v>
      </c>
      <c r="E32" s="19">
        <v>2</v>
      </c>
      <c r="F32" s="19">
        <v>20</v>
      </c>
      <c r="G32" s="19">
        <v>29</v>
      </c>
      <c r="H32" s="67">
        <f t="shared" si="22"/>
        <v>4.2398031451703769E-3</v>
      </c>
      <c r="I32" s="39">
        <v>0</v>
      </c>
      <c r="J32" s="20" t="s">
        <v>116</v>
      </c>
      <c r="K32" s="119">
        <f t="shared" si="23"/>
        <v>4</v>
      </c>
      <c r="L32" s="51">
        <f t="shared" si="3"/>
        <v>14</v>
      </c>
      <c r="M32" s="41" t="s">
        <v>128</v>
      </c>
    </row>
    <row r="33" spans="1:13" x14ac:dyDescent="0.3">
      <c r="A33" s="124">
        <v>43205</v>
      </c>
      <c r="B33" s="55" t="str">
        <f t="shared" si="21"/>
        <v>søndag</v>
      </c>
      <c r="C33" s="17" t="s">
        <v>15</v>
      </c>
      <c r="D33" s="18">
        <v>21.75</v>
      </c>
      <c r="E33" s="19">
        <v>2</v>
      </c>
      <c r="F33" s="19">
        <v>9</v>
      </c>
      <c r="G33" s="19">
        <v>58</v>
      </c>
      <c r="H33" s="67">
        <f t="shared" si="22"/>
        <v>4.1496381438910178E-3</v>
      </c>
      <c r="I33" s="39">
        <v>0</v>
      </c>
      <c r="J33" s="20" t="s">
        <v>116</v>
      </c>
      <c r="K33" s="119">
        <f t="shared" si="23"/>
        <v>4</v>
      </c>
      <c r="L33" s="51">
        <f t="shared" si="3"/>
        <v>15</v>
      </c>
      <c r="M33" s="41" t="s">
        <v>144</v>
      </c>
    </row>
    <row r="34" spans="1:13" x14ac:dyDescent="0.3">
      <c r="A34" s="124">
        <v>43209</v>
      </c>
      <c r="B34" s="13" t="str">
        <f t="shared" si="21"/>
        <v>torsdag</v>
      </c>
      <c r="C34" s="17" t="s">
        <v>14</v>
      </c>
      <c r="D34" s="18">
        <v>8.94</v>
      </c>
      <c r="E34" s="19">
        <v>0</v>
      </c>
      <c r="F34" s="19">
        <v>59</v>
      </c>
      <c r="G34" s="19">
        <v>10</v>
      </c>
      <c r="H34" s="67">
        <f t="shared" si="22"/>
        <v>4.5959690115171094E-3</v>
      </c>
      <c r="I34" s="39">
        <v>0</v>
      </c>
      <c r="J34" s="20" t="s">
        <v>136</v>
      </c>
      <c r="K34" s="119">
        <f t="shared" si="23"/>
        <v>4</v>
      </c>
      <c r="L34" s="51">
        <f t="shared" si="3"/>
        <v>16</v>
      </c>
      <c r="M34" s="41" t="s">
        <v>43</v>
      </c>
    </row>
    <row r="35" spans="1:13" x14ac:dyDescent="0.3">
      <c r="A35" s="124">
        <v>43212</v>
      </c>
      <c r="B35" s="55" t="str">
        <f t="shared" ref="B35:B37" si="24">TEXT(WEEKDAY(A35,1),"dddd")</f>
        <v>søndag</v>
      </c>
      <c r="C35" s="17" t="s">
        <v>15</v>
      </c>
      <c r="D35" s="18">
        <v>29.47</v>
      </c>
      <c r="E35" s="19">
        <v>3</v>
      </c>
      <c r="F35" s="19">
        <v>5</v>
      </c>
      <c r="G35" s="19">
        <v>50</v>
      </c>
      <c r="H35" s="67">
        <f t="shared" ref="H35:H37" si="25">IF(D35 &lt;&gt;0,TIME(E35,F35,G35)/D35,0)</f>
        <v>4.3790609408186605E-3</v>
      </c>
      <c r="I35" s="39">
        <v>0</v>
      </c>
      <c r="J35" s="20" t="s">
        <v>136</v>
      </c>
      <c r="K35" s="119">
        <f t="shared" ref="K35:K37" si="26">IF(A35="",0,MONTH(A35))</f>
        <v>4</v>
      </c>
      <c r="L35" s="51">
        <f t="shared" si="3"/>
        <v>16</v>
      </c>
      <c r="M35" s="41" t="s">
        <v>128</v>
      </c>
    </row>
    <row r="36" spans="1:13" x14ac:dyDescent="0.3">
      <c r="A36" s="124">
        <v>43217</v>
      </c>
      <c r="B36" s="55" t="str">
        <f t="shared" si="24"/>
        <v>fredag</v>
      </c>
      <c r="C36" s="17" t="s">
        <v>10</v>
      </c>
      <c r="D36" s="18">
        <v>42.54</v>
      </c>
      <c r="E36" s="19">
        <v>5</v>
      </c>
      <c r="F36" s="19">
        <v>17</v>
      </c>
      <c r="G36" s="19">
        <v>15</v>
      </c>
      <c r="H36" s="67">
        <f t="shared" si="25"/>
        <v>5.1789492242595202E-3</v>
      </c>
      <c r="I36" s="39">
        <v>0</v>
      </c>
      <c r="J36" s="20" t="s">
        <v>136</v>
      </c>
      <c r="K36" s="119">
        <f t="shared" si="26"/>
        <v>4</v>
      </c>
      <c r="L36" s="51">
        <f t="shared" si="3"/>
        <v>17</v>
      </c>
      <c r="M36" s="41" t="s">
        <v>145</v>
      </c>
    </row>
    <row r="37" spans="1:13" x14ac:dyDescent="0.3">
      <c r="A37" s="124">
        <v>43219</v>
      </c>
      <c r="B37" s="13" t="str">
        <f t="shared" si="24"/>
        <v>søndag</v>
      </c>
      <c r="C37" s="17" t="s">
        <v>15</v>
      </c>
      <c r="D37" s="18">
        <v>20.56</v>
      </c>
      <c r="E37" s="19">
        <v>2</v>
      </c>
      <c r="F37" s="19">
        <v>2</v>
      </c>
      <c r="G37" s="19">
        <v>5</v>
      </c>
      <c r="H37" s="67">
        <f t="shared" si="25"/>
        <v>4.1235453595618969E-3</v>
      </c>
      <c r="I37" s="39">
        <v>0</v>
      </c>
      <c r="J37" s="20" t="s">
        <v>136</v>
      </c>
      <c r="K37" s="119">
        <f t="shared" si="26"/>
        <v>4</v>
      </c>
      <c r="L37" s="51">
        <f t="shared" si="3"/>
        <v>17</v>
      </c>
      <c r="M37" s="41" t="s">
        <v>128</v>
      </c>
    </row>
    <row r="38" spans="1:13" x14ac:dyDescent="0.3">
      <c r="A38" s="124">
        <v>43221</v>
      </c>
      <c r="B38" s="55" t="str">
        <f t="shared" ref="B38:B40" si="27">TEXT(WEEKDAY(A38,1),"dddd")</f>
        <v>tirsdag</v>
      </c>
      <c r="C38" s="17" t="s">
        <v>10</v>
      </c>
      <c r="D38" s="18">
        <v>42.2</v>
      </c>
      <c r="E38" s="19">
        <v>5</v>
      </c>
      <c r="F38" s="19">
        <v>5</v>
      </c>
      <c r="G38" s="19">
        <v>53</v>
      </c>
      <c r="H38" s="67">
        <f t="shared" ref="H38:H40" si="28">IF(D38 &lt;&gt;0,TIME(E38,F38,G38)/D38,0)</f>
        <v>5.0336251535896088E-3</v>
      </c>
      <c r="I38" s="39">
        <v>0</v>
      </c>
      <c r="J38" s="20" t="s">
        <v>120</v>
      </c>
      <c r="K38" s="119">
        <f t="shared" ref="K38:K40" si="29">IF(A38="",0,MONTH(A38))</f>
        <v>5</v>
      </c>
      <c r="L38" s="51">
        <f t="shared" si="3"/>
        <v>18</v>
      </c>
      <c r="M38" s="38" t="s">
        <v>146</v>
      </c>
    </row>
    <row r="39" spans="1:13" x14ac:dyDescent="0.3">
      <c r="A39" s="124">
        <v>43222</v>
      </c>
      <c r="B39" s="55" t="str">
        <f t="shared" si="27"/>
        <v>onsdag</v>
      </c>
      <c r="C39" s="17" t="s">
        <v>15</v>
      </c>
      <c r="D39" s="18">
        <v>9.24</v>
      </c>
      <c r="E39" s="19">
        <v>0</v>
      </c>
      <c r="F39" s="19">
        <v>53</v>
      </c>
      <c r="G39" s="19">
        <v>11</v>
      </c>
      <c r="H39" s="67">
        <f t="shared" si="28"/>
        <v>3.9970638928972253E-3</v>
      </c>
      <c r="I39" s="39">
        <v>0</v>
      </c>
      <c r="J39" s="20" t="s">
        <v>120</v>
      </c>
      <c r="K39" s="119">
        <f t="shared" si="29"/>
        <v>5</v>
      </c>
      <c r="L39" s="51">
        <f t="shared" si="3"/>
        <v>18</v>
      </c>
      <c r="M39" s="38" t="s">
        <v>147</v>
      </c>
    </row>
    <row r="40" spans="1:13" x14ac:dyDescent="0.3">
      <c r="A40" s="125">
        <v>43226</v>
      </c>
      <c r="B40" s="55" t="str">
        <f t="shared" si="27"/>
        <v>søndag</v>
      </c>
      <c r="C40" s="10" t="s">
        <v>15</v>
      </c>
      <c r="D40" s="11">
        <v>15.06</v>
      </c>
      <c r="E40" s="12">
        <v>1</v>
      </c>
      <c r="F40" s="12">
        <v>28</v>
      </c>
      <c r="G40" s="12">
        <v>27</v>
      </c>
      <c r="H40" s="68">
        <f t="shared" si="28"/>
        <v>4.0785930352663421E-3</v>
      </c>
      <c r="I40" s="40">
        <v>0</v>
      </c>
      <c r="J40" s="22" t="s">
        <v>136</v>
      </c>
      <c r="K40" s="49">
        <f t="shared" si="29"/>
        <v>5</v>
      </c>
      <c r="L40" s="51">
        <f t="shared" si="3"/>
        <v>18</v>
      </c>
      <c r="M40" s="41" t="s">
        <v>128</v>
      </c>
    </row>
    <row r="41" spans="1:13" x14ac:dyDescent="0.3">
      <c r="A41" s="124">
        <v>43228</v>
      </c>
      <c r="B41" s="55" t="str">
        <f t="shared" ref="B41:B42" si="30">TEXT(WEEKDAY(A41,1),"dddd")</f>
        <v>tirsdag</v>
      </c>
      <c r="C41" s="17" t="s">
        <v>14</v>
      </c>
      <c r="D41" s="18">
        <v>6.86</v>
      </c>
      <c r="E41" s="19">
        <v>0</v>
      </c>
      <c r="F41" s="19">
        <v>42</v>
      </c>
      <c r="G41" s="19">
        <v>3</v>
      </c>
      <c r="H41" s="67">
        <f t="shared" ref="H41:H42" si="31">IF(D41 &lt;&gt;0,TIME(E41,F41,G41)/D41,0)</f>
        <v>4.2567622287010042E-3</v>
      </c>
      <c r="I41" s="39">
        <v>0</v>
      </c>
      <c r="J41" s="20" t="s">
        <v>136</v>
      </c>
      <c r="K41" s="119">
        <f t="shared" ref="K41:K42" si="32">IF(A41="",0,MONTH(A41))</f>
        <v>5</v>
      </c>
      <c r="L41" s="51">
        <f t="shared" si="3"/>
        <v>19</v>
      </c>
      <c r="M41" s="38" t="s">
        <v>148</v>
      </c>
    </row>
    <row r="42" spans="1:13" x14ac:dyDescent="0.3">
      <c r="A42" s="125">
        <v>43233</v>
      </c>
      <c r="B42" s="55" t="str">
        <f t="shared" si="30"/>
        <v>søndag</v>
      </c>
      <c r="C42" s="10" t="s">
        <v>14</v>
      </c>
      <c r="D42" s="11">
        <v>29</v>
      </c>
      <c r="E42" s="12">
        <v>2</v>
      </c>
      <c r="F42" s="12">
        <v>58</v>
      </c>
      <c r="G42" s="12">
        <v>0</v>
      </c>
      <c r="H42" s="68">
        <f t="shared" si="31"/>
        <v>4.2624521072796937E-3</v>
      </c>
      <c r="I42" s="40">
        <v>0</v>
      </c>
      <c r="J42" s="22" t="s">
        <v>120</v>
      </c>
      <c r="K42" s="49">
        <f t="shared" si="32"/>
        <v>5</v>
      </c>
      <c r="L42" s="51">
        <f t="shared" si="3"/>
        <v>19</v>
      </c>
      <c r="M42" s="41" t="s">
        <v>149</v>
      </c>
    </row>
    <row r="43" spans="1:13" x14ac:dyDescent="0.3">
      <c r="A43" s="124">
        <v>43238</v>
      </c>
      <c r="B43" s="55" t="str">
        <f t="shared" ref="B43:B49" si="33">TEXT(WEEKDAY(A43,1),"dddd")</f>
        <v>fredag</v>
      </c>
      <c r="C43" s="17" t="s">
        <v>14</v>
      </c>
      <c r="D43" s="18">
        <v>6.3</v>
      </c>
      <c r="E43" s="19">
        <v>0</v>
      </c>
      <c r="F43" s="19">
        <v>37</v>
      </c>
      <c r="G43" s="19">
        <v>56</v>
      </c>
      <c r="H43" s="67">
        <f t="shared" ref="H43:H49" si="34">IF(D43 &lt;&gt;0,TIME(E43,F43,G43)/D43,0)</f>
        <v>4.1813639035861248E-3</v>
      </c>
      <c r="I43" s="39">
        <v>0</v>
      </c>
      <c r="J43" s="20" t="s">
        <v>136</v>
      </c>
      <c r="K43" s="119">
        <f t="shared" ref="K43:K49" si="35">IF(A43="",0,MONTH(A43))</f>
        <v>5</v>
      </c>
      <c r="L43" s="51">
        <f t="shared" si="3"/>
        <v>20</v>
      </c>
      <c r="M43" s="38" t="s">
        <v>150</v>
      </c>
    </row>
    <row r="44" spans="1:13" x14ac:dyDescent="0.3">
      <c r="A44" s="124">
        <v>43243</v>
      </c>
      <c r="B44" s="55" t="str">
        <f t="shared" si="33"/>
        <v>onsdag</v>
      </c>
      <c r="C44" s="17" t="s">
        <v>15</v>
      </c>
      <c r="D44" s="18">
        <v>9.27</v>
      </c>
      <c r="E44" s="19">
        <v>0</v>
      </c>
      <c r="F44" s="19">
        <v>58</v>
      </c>
      <c r="G44" s="19">
        <v>20</v>
      </c>
      <c r="H44" s="67">
        <f t="shared" si="34"/>
        <v>4.3699308801789924E-3</v>
      </c>
      <c r="I44" s="39">
        <v>0</v>
      </c>
      <c r="J44" s="20" t="s">
        <v>136</v>
      </c>
      <c r="K44" s="119">
        <f t="shared" si="35"/>
        <v>5</v>
      </c>
      <c r="L44" s="51">
        <f t="shared" si="3"/>
        <v>21</v>
      </c>
      <c r="M44" s="38" t="s">
        <v>43</v>
      </c>
    </row>
    <row r="45" spans="1:13" x14ac:dyDescent="0.3">
      <c r="A45" s="124">
        <v>43247</v>
      </c>
      <c r="B45" s="55" t="str">
        <f t="shared" si="33"/>
        <v>søndag</v>
      </c>
      <c r="C45" s="17" t="s">
        <v>10</v>
      </c>
      <c r="D45" s="18">
        <v>42.7</v>
      </c>
      <c r="E45" s="19">
        <v>5</v>
      </c>
      <c r="F45" s="19">
        <v>28</v>
      </c>
      <c r="G45" s="19">
        <v>7</v>
      </c>
      <c r="H45" s="67">
        <f t="shared" si="34"/>
        <v>5.3362715760256743E-3</v>
      </c>
      <c r="I45" s="39">
        <v>0</v>
      </c>
      <c r="J45" s="20" t="s">
        <v>136</v>
      </c>
      <c r="K45" s="119">
        <f t="shared" si="35"/>
        <v>5</v>
      </c>
      <c r="L45" s="51">
        <f t="shared" si="3"/>
        <v>21</v>
      </c>
      <c r="M45" s="38" t="s">
        <v>158</v>
      </c>
    </row>
    <row r="46" spans="1:13" x14ac:dyDescent="0.3">
      <c r="A46" s="124">
        <v>43249</v>
      </c>
      <c r="B46" s="55" t="str">
        <f t="shared" si="33"/>
        <v>tirsdag</v>
      </c>
      <c r="C46" s="17" t="s">
        <v>14</v>
      </c>
      <c r="D46" s="18">
        <v>10.130000000000001</v>
      </c>
      <c r="E46" s="19">
        <v>1</v>
      </c>
      <c r="F46" s="19">
        <v>4</v>
      </c>
      <c r="G46" s="19">
        <v>38</v>
      </c>
      <c r="H46" s="67">
        <f t="shared" si="34"/>
        <v>4.4308251983474099E-3</v>
      </c>
      <c r="I46" s="39">
        <v>0</v>
      </c>
      <c r="J46" s="20" t="s">
        <v>136</v>
      </c>
      <c r="K46" s="119">
        <f t="shared" si="35"/>
        <v>5</v>
      </c>
      <c r="L46" s="51">
        <f t="shared" si="3"/>
        <v>22</v>
      </c>
      <c r="M46" s="120" t="s">
        <v>43</v>
      </c>
    </row>
    <row r="47" spans="1:13" x14ac:dyDescent="0.3">
      <c r="A47" s="124">
        <v>43253</v>
      </c>
      <c r="B47" s="55" t="str">
        <f t="shared" si="33"/>
        <v>lørdag</v>
      </c>
      <c r="C47" s="17" t="s">
        <v>10</v>
      </c>
      <c r="D47" s="18">
        <v>42.83</v>
      </c>
      <c r="E47" s="19">
        <v>5</v>
      </c>
      <c r="F47" s="19">
        <v>49</v>
      </c>
      <c r="G47" s="19">
        <v>15</v>
      </c>
      <c r="H47" s="67">
        <f t="shared" si="34"/>
        <v>5.6627299141308006E-3</v>
      </c>
      <c r="I47" s="39">
        <v>0</v>
      </c>
      <c r="J47" s="20" t="s">
        <v>136</v>
      </c>
      <c r="K47" s="119">
        <f t="shared" si="35"/>
        <v>6</v>
      </c>
      <c r="L47" s="51">
        <f t="shared" si="3"/>
        <v>22</v>
      </c>
      <c r="M47" s="38" t="s">
        <v>151</v>
      </c>
    </row>
    <row r="48" spans="1:13" x14ac:dyDescent="0.3">
      <c r="A48" s="124">
        <v>43256</v>
      </c>
      <c r="B48" s="55" t="str">
        <f t="shared" si="33"/>
        <v>tirsdag</v>
      </c>
      <c r="C48" s="17" t="s">
        <v>10</v>
      </c>
      <c r="D48" s="18">
        <v>42.24</v>
      </c>
      <c r="E48" s="19">
        <v>5</v>
      </c>
      <c r="F48" s="19">
        <v>28</v>
      </c>
      <c r="G48" s="19">
        <v>58</v>
      </c>
      <c r="H48" s="67">
        <f t="shared" si="34"/>
        <v>5.4083587612233442E-3</v>
      </c>
      <c r="I48" s="39">
        <v>0</v>
      </c>
      <c r="J48" s="20" t="s">
        <v>136</v>
      </c>
      <c r="K48" s="119">
        <f t="shared" si="35"/>
        <v>6</v>
      </c>
      <c r="L48" s="51">
        <f t="shared" si="3"/>
        <v>23</v>
      </c>
      <c r="M48" s="38" t="s">
        <v>156</v>
      </c>
    </row>
    <row r="49" spans="1:13" x14ac:dyDescent="0.3">
      <c r="A49" s="125">
        <v>43259</v>
      </c>
      <c r="B49" s="55" t="str">
        <f t="shared" si="33"/>
        <v>fredag</v>
      </c>
      <c r="C49" s="10" t="s">
        <v>14</v>
      </c>
      <c r="D49" s="11">
        <v>5.54</v>
      </c>
      <c r="E49" s="12">
        <v>0</v>
      </c>
      <c r="F49" s="12">
        <v>35</v>
      </c>
      <c r="G49" s="12">
        <v>43</v>
      </c>
      <c r="H49" s="68">
        <f t="shared" si="34"/>
        <v>4.4771192672817218E-3</v>
      </c>
      <c r="I49" s="40">
        <v>0</v>
      </c>
      <c r="J49" s="22" t="s">
        <v>136</v>
      </c>
      <c r="K49" s="49">
        <f t="shared" si="35"/>
        <v>6</v>
      </c>
      <c r="L49" s="51">
        <f t="shared" si="3"/>
        <v>23</v>
      </c>
      <c r="M49" s="41" t="s">
        <v>43</v>
      </c>
    </row>
    <row r="50" spans="1:13" x14ac:dyDescent="0.3">
      <c r="A50" s="124">
        <v>43261</v>
      </c>
      <c r="B50" s="55" t="str">
        <f t="shared" ref="B50:B55" si="36">TEXT(WEEKDAY(A50,1),"dddd")</f>
        <v>søndag</v>
      </c>
      <c r="C50" s="17" t="s">
        <v>10</v>
      </c>
      <c r="D50" s="18">
        <v>43.06</v>
      </c>
      <c r="E50" s="19">
        <v>5</v>
      </c>
      <c r="F50" s="19">
        <v>37</v>
      </c>
      <c r="G50" s="19">
        <v>6</v>
      </c>
      <c r="H50" s="67">
        <f t="shared" ref="H50:H55" si="37">IF(D50 &lt;&gt;0,TIME(E50,F50,G50)/D50,0)</f>
        <v>5.4365355834236464E-3</v>
      </c>
      <c r="I50" s="39">
        <v>0</v>
      </c>
      <c r="J50" s="20" t="s">
        <v>136</v>
      </c>
      <c r="K50" s="119">
        <f t="shared" ref="K50:K55" si="38">IF(A50="",0,MONTH(A50))</f>
        <v>6</v>
      </c>
      <c r="L50" s="51">
        <f t="shared" si="3"/>
        <v>23</v>
      </c>
      <c r="M50" s="38" t="s">
        <v>152</v>
      </c>
    </row>
    <row r="51" spans="1:13" x14ac:dyDescent="0.3">
      <c r="A51" s="124">
        <v>43267</v>
      </c>
      <c r="B51" s="55" t="str">
        <f t="shared" si="36"/>
        <v>lørdag</v>
      </c>
      <c r="C51" s="17" t="s">
        <v>10</v>
      </c>
      <c r="D51" s="18">
        <v>42.46</v>
      </c>
      <c r="E51" s="19">
        <v>5</v>
      </c>
      <c r="F51" s="19">
        <v>21</v>
      </c>
      <c r="G51" s="19">
        <v>15</v>
      </c>
      <c r="H51" s="67">
        <f t="shared" si="37"/>
        <v>5.2541280682472397E-3</v>
      </c>
      <c r="I51" s="39">
        <v>0</v>
      </c>
      <c r="J51" s="20" t="s">
        <v>136</v>
      </c>
      <c r="K51" s="119">
        <f t="shared" si="38"/>
        <v>6</v>
      </c>
      <c r="L51" s="51">
        <f t="shared" si="3"/>
        <v>24</v>
      </c>
      <c r="M51" s="38" t="s">
        <v>153</v>
      </c>
    </row>
    <row r="52" spans="1:13" x14ac:dyDescent="0.3">
      <c r="A52" s="124">
        <v>43268</v>
      </c>
      <c r="B52" s="55" t="str">
        <f t="shared" si="36"/>
        <v>søndag</v>
      </c>
      <c r="C52" s="17" t="s">
        <v>14</v>
      </c>
      <c r="D52" s="18">
        <v>5.19</v>
      </c>
      <c r="E52" s="19">
        <v>0</v>
      </c>
      <c r="F52" s="19">
        <v>36</v>
      </c>
      <c r="G52" s="19">
        <v>59</v>
      </c>
      <c r="H52" s="67">
        <f t="shared" si="37"/>
        <v>4.9485299364875465E-3</v>
      </c>
      <c r="I52" s="39">
        <v>0</v>
      </c>
      <c r="J52" s="20" t="s">
        <v>32</v>
      </c>
      <c r="K52" s="119">
        <f t="shared" si="38"/>
        <v>6</v>
      </c>
      <c r="L52" s="51">
        <f t="shared" si="3"/>
        <v>24</v>
      </c>
      <c r="M52" s="38" t="s">
        <v>154</v>
      </c>
    </row>
    <row r="53" spans="1:13" x14ac:dyDescent="0.3">
      <c r="A53" s="124">
        <v>43271</v>
      </c>
      <c r="B53" s="55" t="str">
        <f t="shared" si="36"/>
        <v>onsdag</v>
      </c>
      <c r="C53" s="17" t="s">
        <v>10</v>
      </c>
      <c r="D53" s="18">
        <v>42.3</v>
      </c>
      <c r="E53" s="19">
        <v>5</v>
      </c>
      <c r="F53" s="19">
        <v>18</v>
      </c>
      <c r="G53" s="19">
        <v>17</v>
      </c>
      <c r="H53" s="67">
        <f t="shared" si="37"/>
        <v>5.2252976972244113E-3</v>
      </c>
      <c r="I53" s="39">
        <v>0</v>
      </c>
      <c r="J53" s="20" t="s">
        <v>120</v>
      </c>
      <c r="K53" s="119">
        <f t="shared" si="38"/>
        <v>6</v>
      </c>
      <c r="L53" s="51">
        <f t="shared" si="3"/>
        <v>25</v>
      </c>
      <c r="M53" s="38" t="s">
        <v>155</v>
      </c>
    </row>
    <row r="54" spans="1:13" x14ac:dyDescent="0.3">
      <c r="A54" s="124">
        <v>43275</v>
      </c>
      <c r="B54" s="55" t="str">
        <f t="shared" si="36"/>
        <v>søndag</v>
      </c>
      <c r="C54" s="17" t="s">
        <v>10</v>
      </c>
      <c r="D54" s="18">
        <v>42.49</v>
      </c>
      <c r="E54" s="19">
        <v>5</v>
      </c>
      <c r="F54" s="19">
        <v>1</v>
      </c>
      <c r="G54" s="19">
        <v>56</v>
      </c>
      <c r="H54" s="67">
        <f t="shared" si="37"/>
        <v>4.9347123070352054E-3</v>
      </c>
      <c r="I54" s="39">
        <v>0</v>
      </c>
      <c r="J54" s="20" t="s">
        <v>120</v>
      </c>
      <c r="K54" s="119">
        <f t="shared" si="38"/>
        <v>6</v>
      </c>
      <c r="L54" s="51">
        <f t="shared" si="3"/>
        <v>25</v>
      </c>
      <c r="M54" s="38" t="s">
        <v>157</v>
      </c>
    </row>
    <row r="55" spans="1:13" x14ac:dyDescent="0.3">
      <c r="A55" s="125">
        <v>43277</v>
      </c>
      <c r="B55" s="55" t="str">
        <f t="shared" si="36"/>
        <v>tirsdag</v>
      </c>
      <c r="C55" s="10" t="s">
        <v>14</v>
      </c>
      <c r="D55" s="11">
        <v>6.23</v>
      </c>
      <c r="E55" s="12">
        <v>0</v>
      </c>
      <c r="F55" s="12">
        <v>37</v>
      </c>
      <c r="G55" s="12">
        <v>28</v>
      </c>
      <c r="H55" s="68">
        <f t="shared" si="37"/>
        <v>4.1763272100350749E-3</v>
      </c>
      <c r="I55" s="40">
        <v>0</v>
      </c>
      <c r="J55" s="22" t="s">
        <v>136</v>
      </c>
      <c r="K55" s="49">
        <f t="shared" si="38"/>
        <v>6</v>
      </c>
      <c r="L55" s="51">
        <f t="shared" si="3"/>
        <v>26</v>
      </c>
      <c r="M55" s="41" t="s">
        <v>43</v>
      </c>
    </row>
    <row r="56" spans="1:13" x14ac:dyDescent="0.3">
      <c r="A56" s="124">
        <v>43279</v>
      </c>
      <c r="B56" s="55" t="str">
        <f t="shared" ref="B56:B59" si="39">TEXT(WEEKDAY(A56,1),"dddd")</f>
        <v>torsdag</v>
      </c>
      <c r="C56" s="17" t="s">
        <v>14</v>
      </c>
      <c r="D56" s="18">
        <v>7.34</v>
      </c>
      <c r="E56" s="19">
        <v>0</v>
      </c>
      <c r="F56" s="19">
        <v>49</v>
      </c>
      <c r="G56" s="19">
        <v>5</v>
      </c>
      <c r="H56" s="67">
        <f t="shared" ref="H56:H59" si="40">IF(D56 &lt;&gt;0,TIME(E56,F56,G56)/D56,0)</f>
        <v>4.6438212735896659E-3</v>
      </c>
      <c r="I56" s="39">
        <v>0</v>
      </c>
      <c r="J56" s="20" t="s">
        <v>136</v>
      </c>
      <c r="K56" s="119">
        <f t="shared" ref="K56:K59" si="41">IF(A56="",0,MONTH(A56))</f>
        <v>6</v>
      </c>
      <c r="L56" s="51">
        <f t="shared" si="3"/>
        <v>26</v>
      </c>
      <c r="M56" s="38" t="s">
        <v>43</v>
      </c>
    </row>
    <row r="57" spans="1:13" x14ac:dyDescent="0.3">
      <c r="A57" s="124">
        <v>43281</v>
      </c>
      <c r="B57" s="55" t="str">
        <f t="shared" si="39"/>
        <v>lørdag</v>
      </c>
      <c r="C57" s="17" t="s">
        <v>10</v>
      </c>
      <c r="D57" s="18">
        <v>42.46</v>
      </c>
      <c r="E57" s="19">
        <v>5</v>
      </c>
      <c r="F57" s="19">
        <v>8</v>
      </c>
      <c r="G57" s="19">
        <v>54</v>
      </c>
      <c r="H57" s="67">
        <f t="shared" si="40"/>
        <v>5.0521405767519753E-3</v>
      </c>
      <c r="I57" s="39">
        <v>0</v>
      </c>
      <c r="J57" s="20" t="s">
        <v>120</v>
      </c>
      <c r="K57" s="119">
        <f t="shared" si="41"/>
        <v>6</v>
      </c>
      <c r="L57" s="51">
        <f t="shared" si="3"/>
        <v>26</v>
      </c>
      <c r="M57" s="38" t="s">
        <v>160</v>
      </c>
    </row>
    <row r="58" spans="1:13" x14ac:dyDescent="0.3">
      <c r="A58" s="124">
        <v>43282</v>
      </c>
      <c r="B58" s="55" t="str">
        <f t="shared" si="39"/>
        <v>søndag</v>
      </c>
      <c r="C58" s="17" t="s">
        <v>10</v>
      </c>
      <c r="D58" s="18">
        <v>42.41</v>
      </c>
      <c r="E58" s="19">
        <v>5</v>
      </c>
      <c r="F58" s="19">
        <v>29</v>
      </c>
      <c r="G58" s="19">
        <v>15</v>
      </c>
      <c r="H58" s="67">
        <f t="shared" si="40"/>
        <v>5.3913188713353771E-3</v>
      </c>
      <c r="I58" s="39">
        <v>0</v>
      </c>
      <c r="J58" s="20" t="s">
        <v>120</v>
      </c>
      <c r="K58" s="119">
        <f t="shared" si="41"/>
        <v>7</v>
      </c>
      <c r="L58" s="51">
        <f t="shared" si="3"/>
        <v>26</v>
      </c>
      <c r="M58" s="38" t="s">
        <v>161</v>
      </c>
    </row>
    <row r="59" spans="1:13" x14ac:dyDescent="0.3">
      <c r="A59" s="125">
        <v>43285</v>
      </c>
      <c r="B59" s="55" t="str">
        <f t="shared" si="39"/>
        <v>onsdag</v>
      </c>
      <c r="C59" s="10" t="s">
        <v>12</v>
      </c>
      <c r="D59" s="11">
        <v>5.16</v>
      </c>
      <c r="E59" s="12">
        <v>0</v>
      </c>
      <c r="F59" s="12">
        <v>35</v>
      </c>
      <c r="G59" s="12">
        <v>6</v>
      </c>
      <c r="H59" s="68">
        <f t="shared" si="40"/>
        <v>4.7238372093023262E-3</v>
      </c>
      <c r="I59" s="40">
        <v>0</v>
      </c>
      <c r="J59" s="22" t="s">
        <v>136</v>
      </c>
      <c r="K59" s="49">
        <f t="shared" si="41"/>
        <v>7</v>
      </c>
      <c r="L59" s="51">
        <f t="shared" si="3"/>
        <v>27</v>
      </c>
      <c r="M59" s="41" t="s">
        <v>159</v>
      </c>
    </row>
    <row r="60" spans="1:13" x14ac:dyDescent="0.3">
      <c r="A60" s="124">
        <v>43291</v>
      </c>
      <c r="B60" s="55" t="str">
        <f t="shared" ref="B60:B62" si="42">TEXT(WEEKDAY(A60,1),"dddd")</f>
        <v>tirsdag</v>
      </c>
      <c r="C60" s="17" t="s">
        <v>14</v>
      </c>
      <c r="D60" s="18">
        <v>7.01</v>
      </c>
      <c r="E60" s="19">
        <v>0</v>
      </c>
      <c r="F60" s="19">
        <v>48</v>
      </c>
      <c r="G60" s="19">
        <v>0</v>
      </c>
      <c r="H60" s="67">
        <f t="shared" ref="H60:H62" si="43">IF(D60 &lt;&gt;0,TIME(E60,F60,G60)/D60,0)</f>
        <v>4.7551117451260106E-3</v>
      </c>
      <c r="I60" s="39">
        <v>0</v>
      </c>
      <c r="J60" s="20" t="s">
        <v>32</v>
      </c>
      <c r="K60" s="119">
        <f t="shared" ref="K60:K62" si="44">IF(A60="",0,MONTH(A60))</f>
        <v>7</v>
      </c>
      <c r="L60" s="51">
        <f t="shared" si="3"/>
        <v>28</v>
      </c>
      <c r="M60" s="38" t="s">
        <v>176</v>
      </c>
    </row>
    <row r="61" spans="1:13" x14ac:dyDescent="0.3">
      <c r="A61" s="124">
        <v>43298</v>
      </c>
      <c r="B61" s="55" t="str">
        <f t="shared" si="42"/>
        <v>tirsdag</v>
      </c>
      <c r="C61" s="17" t="s">
        <v>14</v>
      </c>
      <c r="D61" s="18">
        <v>5.22</v>
      </c>
      <c r="E61" s="19">
        <v>0</v>
      </c>
      <c r="F61" s="19">
        <v>31</v>
      </c>
      <c r="G61" s="19">
        <v>1</v>
      </c>
      <c r="H61" s="67">
        <f t="shared" si="43"/>
        <v>4.1263126152972897E-3</v>
      </c>
      <c r="I61" s="39">
        <v>0</v>
      </c>
      <c r="J61" s="20" t="s">
        <v>32</v>
      </c>
      <c r="K61" s="119">
        <f t="shared" si="44"/>
        <v>7</v>
      </c>
      <c r="L61" s="51">
        <f t="shared" si="3"/>
        <v>29</v>
      </c>
      <c r="M61" s="120" t="s">
        <v>177</v>
      </c>
    </row>
    <row r="62" spans="1:13" x14ac:dyDescent="0.3">
      <c r="A62" s="125">
        <v>43303</v>
      </c>
      <c r="B62" s="55" t="str">
        <f t="shared" si="42"/>
        <v>søndag</v>
      </c>
      <c r="C62" s="10" t="s">
        <v>10</v>
      </c>
      <c r="D62" s="11">
        <v>42.56</v>
      </c>
      <c r="E62" s="12">
        <v>5</v>
      </c>
      <c r="F62" s="12">
        <v>38</v>
      </c>
      <c r="G62" s="12">
        <v>28</v>
      </c>
      <c r="H62" s="68">
        <f t="shared" si="43"/>
        <v>5.5227043302701192E-3</v>
      </c>
      <c r="I62" s="40">
        <v>0</v>
      </c>
      <c r="J62" s="22" t="s">
        <v>120</v>
      </c>
      <c r="K62" s="49">
        <f t="shared" si="44"/>
        <v>7</v>
      </c>
      <c r="L62" s="51">
        <f t="shared" si="3"/>
        <v>29</v>
      </c>
      <c r="M62" s="41" t="s">
        <v>179</v>
      </c>
    </row>
    <row r="63" spans="1:13" x14ac:dyDescent="0.3">
      <c r="A63" s="124">
        <v>43306</v>
      </c>
      <c r="B63" s="55" t="str">
        <f t="shared" ref="B63:B65" si="45">TEXT(WEEKDAY(A63,1),"dddd")</f>
        <v>onsdag</v>
      </c>
      <c r="C63" s="17" t="s">
        <v>10</v>
      </c>
      <c r="D63" s="18">
        <v>42.69</v>
      </c>
      <c r="E63" s="19">
        <v>6</v>
      </c>
      <c r="F63" s="19">
        <v>18</v>
      </c>
      <c r="G63" s="19">
        <v>54</v>
      </c>
      <c r="H63" s="67">
        <f t="shared" ref="H63:H65" si="46">IF(D63 &lt;&gt;0,TIME(E63,F63,G63)/D63,0)</f>
        <v>6.1636214570156946E-3</v>
      </c>
      <c r="I63" s="39">
        <v>0</v>
      </c>
      <c r="J63" s="20" t="s">
        <v>120</v>
      </c>
      <c r="K63" s="119">
        <f t="shared" ref="K63:K65" si="47">IF(A63="",0,MONTH(A63))</f>
        <v>7</v>
      </c>
      <c r="L63" s="51">
        <f t="shared" si="3"/>
        <v>30</v>
      </c>
      <c r="M63" s="38" t="s">
        <v>178</v>
      </c>
    </row>
    <row r="64" spans="1:13" x14ac:dyDescent="0.3">
      <c r="A64" s="124">
        <v>43310</v>
      </c>
      <c r="B64" s="55" t="str">
        <f t="shared" si="45"/>
        <v>søndag</v>
      </c>
      <c r="C64" s="17" t="s">
        <v>10</v>
      </c>
      <c r="D64" s="18">
        <v>42.44</v>
      </c>
      <c r="E64" s="19">
        <v>5</v>
      </c>
      <c r="F64" s="19">
        <v>27</v>
      </c>
      <c r="G64" s="19">
        <v>5</v>
      </c>
      <c r="H64" s="67">
        <f t="shared" si="46"/>
        <v>5.352054752679164E-3</v>
      </c>
      <c r="I64" s="39">
        <v>0</v>
      </c>
      <c r="J64" s="20" t="s">
        <v>120</v>
      </c>
      <c r="K64" s="119">
        <f t="shared" si="47"/>
        <v>7</v>
      </c>
      <c r="L64" s="51">
        <f t="shared" si="3"/>
        <v>30</v>
      </c>
      <c r="M64" s="38" t="s">
        <v>180</v>
      </c>
    </row>
    <row r="65" spans="1:13" x14ac:dyDescent="0.3">
      <c r="A65" s="125">
        <v>43313</v>
      </c>
      <c r="B65" s="55" t="str">
        <f t="shared" si="45"/>
        <v>onsdag</v>
      </c>
      <c r="C65" s="10" t="s">
        <v>14</v>
      </c>
      <c r="D65" s="11">
        <v>8.3000000000000007</v>
      </c>
      <c r="E65" s="12">
        <v>0</v>
      </c>
      <c r="F65" s="12">
        <v>55</v>
      </c>
      <c r="G65" s="12">
        <v>42</v>
      </c>
      <c r="H65" s="68">
        <f t="shared" si="46"/>
        <v>4.6603078982597052E-3</v>
      </c>
      <c r="I65" s="40">
        <v>0</v>
      </c>
      <c r="J65" s="22" t="s">
        <v>136</v>
      </c>
      <c r="K65" s="49">
        <f t="shared" si="47"/>
        <v>8</v>
      </c>
      <c r="L65" s="51">
        <f t="shared" si="3"/>
        <v>31</v>
      </c>
      <c r="M65" s="41" t="s">
        <v>43</v>
      </c>
    </row>
    <row r="66" spans="1:13" x14ac:dyDescent="0.3">
      <c r="A66" s="124">
        <v>43317</v>
      </c>
      <c r="B66" s="55" t="str">
        <f t="shared" ref="B66:B70" si="48">TEXT(WEEKDAY(A66,1),"dddd")</f>
        <v>søndag</v>
      </c>
      <c r="C66" s="17" t="s">
        <v>14</v>
      </c>
      <c r="D66" s="18">
        <v>21.83</v>
      </c>
      <c r="E66" s="19">
        <v>2</v>
      </c>
      <c r="F66" s="19">
        <v>30</v>
      </c>
      <c r="G66" s="19">
        <v>20</v>
      </c>
      <c r="H66" s="67">
        <f t="shared" ref="H66:H70" si="49">IF(D66 &lt;&gt;0,TIME(E66,F66,G66)/D66,0)</f>
        <v>4.7823246975789348E-3</v>
      </c>
      <c r="I66" s="39">
        <v>0</v>
      </c>
      <c r="J66" s="20" t="s">
        <v>120</v>
      </c>
      <c r="K66" s="119">
        <f t="shared" ref="K66:K70" si="50">IF(A66="",0,MONTH(A66))</f>
        <v>8</v>
      </c>
      <c r="L66" s="51">
        <f t="shared" si="3"/>
        <v>31</v>
      </c>
      <c r="M66" s="38" t="s">
        <v>181</v>
      </c>
    </row>
    <row r="67" spans="1:13" x14ac:dyDescent="0.3">
      <c r="A67" s="124">
        <v>43321</v>
      </c>
      <c r="B67" s="55" t="str">
        <f t="shared" si="48"/>
        <v>torsdag</v>
      </c>
      <c r="C67" s="17" t="s">
        <v>10</v>
      </c>
      <c r="D67" s="18">
        <v>42.29</v>
      </c>
      <c r="E67" s="19">
        <v>5</v>
      </c>
      <c r="F67" s="19">
        <v>44</v>
      </c>
      <c r="G67" s="19">
        <v>32</v>
      </c>
      <c r="H67" s="67">
        <f t="shared" si="49"/>
        <v>5.6575847542979256E-3</v>
      </c>
      <c r="I67" s="39">
        <v>0</v>
      </c>
      <c r="J67" s="20" t="s">
        <v>136</v>
      </c>
      <c r="K67" s="119">
        <f t="shared" si="50"/>
        <v>8</v>
      </c>
      <c r="L67" s="51">
        <f t="shared" si="3"/>
        <v>32</v>
      </c>
      <c r="M67" s="38" t="s">
        <v>189</v>
      </c>
    </row>
    <row r="68" spans="1:13" x14ac:dyDescent="0.3">
      <c r="A68" s="124">
        <v>43324</v>
      </c>
      <c r="B68" s="55" t="str">
        <f t="shared" si="48"/>
        <v>søndag</v>
      </c>
      <c r="C68" s="17" t="s">
        <v>10</v>
      </c>
      <c r="D68" s="18">
        <v>42.58</v>
      </c>
      <c r="E68" s="19">
        <v>5</v>
      </c>
      <c r="F68" s="19">
        <v>12</v>
      </c>
      <c r="G68" s="19">
        <v>7</v>
      </c>
      <c r="H68" s="67">
        <f t="shared" si="49"/>
        <v>5.0903636727380264E-3</v>
      </c>
      <c r="I68" s="39">
        <v>0</v>
      </c>
      <c r="J68" s="20" t="s">
        <v>136</v>
      </c>
      <c r="K68" s="119">
        <f t="shared" si="50"/>
        <v>8</v>
      </c>
      <c r="L68" s="51">
        <f t="shared" ref="L68:L110" si="51">IF(A68="",0,_xlfn.ISOWEEKNUM(A68))</f>
        <v>32</v>
      </c>
      <c r="M68" s="38" t="s">
        <v>182</v>
      </c>
    </row>
    <row r="69" spans="1:13" x14ac:dyDescent="0.3">
      <c r="A69" s="124">
        <v>43326</v>
      </c>
      <c r="B69" s="55" t="str">
        <f t="shared" si="48"/>
        <v>tirsdag</v>
      </c>
      <c r="C69" s="17" t="s">
        <v>14</v>
      </c>
      <c r="D69" s="18">
        <v>6.72</v>
      </c>
      <c r="E69" s="19">
        <v>0</v>
      </c>
      <c r="F69" s="19">
        <v>47</v>
      </c>
      <c r="G69" s="19">
        <v>38</v>
      </c>
      <c r="H69" s="67">
        <f t="shared" si="49"/>
        <v>4.9224261463844798E-3</v>
      </c>
      <c r="I69" s="39">
        <v>0</v>
      </c>
      <c r="J69" s="20" t="s">
        <v>136</v>
      </c>
      <c r="K69" s="119">
        <f t="shared" si="50"/>
        <v>8</v>
      </c>
      <c r="L69" s="51">
        <f t="shared" si="51"/>
        <v>33</v>
      </c>
      <c r="M69" s="38" t="s">
        <v>185</v>
      </c>
    </row>
    <row r="70" spans="1:13" x14ac:dyDescent="0.3">
      <c r="A70" s="125">
        <v>43331</v>
      </c>
      <c r="B70" s="55" t="str">
        <f t="shared" si="48"/>
        <v>søndag</v>
      </c>
      <c r="C70" s="10" t="s">
        <v>14</v>
      </c>
      <c r="D70" s="11">
        <v>13.2</v>
      </c>
      <c r="E70" s="12">
        <v>1</v>
      </c>
      <c r="F70" s="12">
        <v>20</v>
      </c>
      <c r="G70" s="12">
        <v>45</v>
      </c>
      <c r="H70" s="68">
        <f t="shared" si="49"/>
        <v>4.2482112794612796E-3</v>
      </c>
      <c r="I70" s="40">
        <v>0</v>
      </c>
      <c r="J70" s="22" t="s">
        <v>136</v>
      </c>
      <c r="K70" s="49">
        <f t="shared" si="50"/>
        <v>8</v>
      </c>
      <c r="L70" s="51">
        <f t="shared" si="51"/>
        <v>33</v>
      </c>
      <c r="M70" s="41" t="s">
        <v>186</v>
      </c>
    </row>
    <row r="71" spans="1:13" x14ac:dyDescent="0.3">
      <c r="A71" s="124">
        <v>43335</v>
      </c>
      <c r="B71" s="55" t="str">
        <f t="shared" ref="B71:B74" si="52">TEXT(WEEKDAY(A71,1),"dddd")</f>
        <v>torsdag</v>
      </c>
      <c r="C71" s="17" t="s">
        <v>10</v>
      </c>
      <c r="D71" s="18">
        <v>42.24</v>
      </c>
      <c r="E71" s="19">
        <v>6</v>
      </c>
      <c r="F71" s="19">
        <v>6</v>
      </c>
      <c r="G71" s="19">
        <v>54</v>
      </c>
      <c r="H71" s="67">
        <f t="shared" ref="H71:H74" si="53">IF(D71 &lt;&gt;0,TIME(E71,F71,G71)/D71,0)</f>
        <v>6.0319996843434349E-3</v>
      </c>
      <c r="I71" s="39">
        <v>0</v>
      </c>
      <c r="J71" s="20" t="s">
        <v>136</v>
      </c>
      <c r="K71" s="119">
        <f t="shared" ref="K71:K74" si="54">IF(A71="",0,MONTH(A71))</f>
        <v>8</v>
      </c>
      <c r="L71" s="51">
        <f t="shared" si="51"/>
        <v>34</v>
      </c>
      <c r="M71" s="38" t="s">
        <v>187</v>
      </c>
    </row>
    <row r="72" spans="1:13" x14ac:dyDescent="0.3">
      <c r="A72" s="124">
        <v>43338</v>
      </c>
      <c r="B72" s="55" t="str">
        <f t="shared" si="52"/>
        <v>søndag</v>
      </c>
      <c r="C72" s="17" t="s">
        <v>10</v>
      </c>
      <c r="D72" s="18">
        <v>42.98</v>
      </c>
      <c r="E72" s="19">
        <v>5</v>
      </c>
      <c r="F72" s="19">
        <v>27</v>
      </c>
      <c r="G72" s="19">
        <v>54</v>
      </c>
      <c r="H72" s="67">
        <f t="shared" si="53"/>
        <v>5.2980068248797887E-3</v>
      </c>
      <c r="I72" s="39">
        <v>0</v>
      </c>
      <c r="J72" s="20" t="s">
        <v>136</v>
      </c>
      <c r="K72" s="119">
        <f t="shared" si="54"/>
        <v>8</v>
      </c>
      <c r="L72" s="51">
        <f t="shared" si="51"/>
        <v>34</v>
      </c>
      <c r="M72" s="38" t="s">
        <v>188</v>
      </c>
    </row>
    <row r="73" spans="1:13" x14ac:dyDescent="0.3">
      <c r="A73" s="124">
        <v>43344</v>
      </c>
      <c r="B73" s="55" t="str">
        <f t="shared" si="52"/>
        <v>lørdag</v>
      </c>
      <c r="C73" s="17" t="s">
        <v>10</v>
      </c>
      <c r="D73" s="18">
        <v>42.22</v>
      </c>
      <c r="E73" s="19">
        <v>5</v>
      </c>
      <c r="F73" s="19">
        <v>24</v>
      </c>
      <c r="G73" s="19">
        <v>50</v>
      </c>
      <c r="H73" s="67">
        <f t="shared" si="53"/>
        <v>5.3429347158622381E-3</v>
      </c>
      <c r="I73" s="39">
        <v>137</v>
      </c>
      <c r="J73" s="20" t="s">
        <v>136</v>
      </c>
      <c r="K73" s="119">
        <f t="shared" si="54"/>
        <v>9</v>
      </c>
      <c r="L73" s="51">
        <f t="shared" si="51"/>
        <v>35</v>
      </c>
      <c r="M73" s="38" t="s">
        <v>192</v>
      </c>
    </row>
    <row r="74" spans="1:13" x14ac:dyDescent="0.3">
      <c r="A74" s="125">
        <v>43351</v>
      </c>
      <c r="B74" s="55" t="str">
        <f t="shared" si="52"/>
        <v>lørdag</v>
      </c>
      <c r="C74" s="10" t="s">
        <v>14</v>
      </c>
      <c r="D74" s="11">
        <v>8.4600000000000009</v>
      </c>
      <c r="E74" s="12">
        <v>0</v>
      </c>
      <c r="F74" s="12">
        <v>57</v>
      </c>
      <c r="G74" s="12">
        <v>21</v>
      </c>
      <c r="H74" s="68">
        <f t="shared" si="53"/>
        <v>4.7076109797740996E-3</v>
      </c>
      <c r="I74" s="40">
        <v>135</v>
      </c>
      <c r="J74" s="22" t="s">
        <v>136</v>
      </c>
      <c r="K74" s="49">
        <f t="shared" si="54"/>
        <v>9</v>
      </c>
      <c r="L74" s="51">
        <f t="shared" si="51"/>
        <v>36</v>
      </c>
      <c r="M74" s="41" t="s">
        <v>43</v>
      </c>
    </row>
    <row r="75" spans="1:13" x14ac:dyDescent="0.3">
      <c r="A75" s="124">
        <v>43354</v>
      </c>
      <c r="B75" s="55" t="str">
        <f t="shared" ref="B75:B77" si="55">TEXT(WEEKDAY(A75,1),"dddd")</f>
        <v>tirsdag</v>
      </c>
      <c r="C75" s="17" t="s">
        <v>14</v>
      </c>
      <c r="D75" s="18">
        <v>4.08</v>
      </c>
      <c r="E75" s="19">
        <v>0</v>
      </c>
      <c r="F75" s="19">
        <v>24</v>
      </c>
      <c r="G75" s="19">
        <v>37</v>
      </c>
      <c r="H75" s="67">
        <f t="shared" ref="H75:H77" si="56">IF(D75 &lt;&gt;0,TIME(E75,F75,G75)/D75,0)</f>
        <v>4.1899282861292669E-3</v>
      </c>
      <c r="I75" s="39">
        <v>150</v>
      </c>
      <c r="J75" s="20" t="s">
        <v>136</v>
      </c>
      <c r="K75" s="119">
        <f t="shared" ref="K75:K77" si="57">IF(A75="",0,MONTH(A75))</f>
        <v>9</v>
      </c>
      <c r="L75" s="51">
        <f t="shared" si="51"/>
        <v>37</v>
      </c>
      <c r="M75" s="38" t="s">
        <v>193</v>
      </c>
    </row>
    <row r="76" spans="1:13" x14ac:dyDescent="0.3">
      <c r="A76" s="124">
        <v>43359</v>
      </c>
      <c r="B76" s="55" t="str">
        <f t="shared" si="55"/>
        <v>søndag</v>
      </c>
      <c r="C76" s="17" t="s">
        <v>10</v>
      </c>
      <c r="D76" s="18">
        <v>21.95</v>
      </c>
      <c r="E76" s="19">
        <v>2</v>
      </c>
      <c r="F76" s="19">
        <v>27</v>
      </c>
      <c r="G76" s="19">
        <v>21</v>
      </c>
      <c r="H76" s="67">
        <f t="shared" si="56"/>
        <v>4.6617944824095172E-3</v>
      </c>
      <c r="I76" s="39">
        <v>142</v>
      </c>
      <c r="J76" s="20" t="s">
        <v>190</v>
      </c>
      <c r="K76" s="119">
        <f t="shared" si="57"/>
        <v>9</v>
      </c>
      <c r="L76" s="51">
        <f t="shared" si="51"/>
        <v>37</v>
      </c>
      <c r="M76" s="38" t="s">
        <v>194</v>
      </c>
    </row>
    <row r="77" spans="1:13" x14ac:dyDescent="0.3">
      <c r="A77" s="125">
        <v>43362</v>
      </c>
      <c r="B77" s="55" t="str">
        <f t="shared" si="55"/>
        <v>onsdag</v>
      </c>
      <c r="C77" s="10" t="s">
        <v>10</v>
      </c>
      <c r="D77" s="11">
        <v>42.69</v>
      </c>
      <c r="E77" s="12">
        <v>6</v>
      </c>
      <c r="F77" s="12">
        <v>12</v>
      </c>
      <c r="G77" s="12">
        <v>10</v>
      </c>
      <c r="H77" s="68">
        <f t="shared" si="56"/>
        <v>6.0540893435013839E-3</v>
      </c>
      <c r="I77" s="40">
        <v>129</v>
      </c>
      <c r="J77" s="22" t="s">
        <v>136</v>
      </c>
      <c r="K77" s="49">
        <f t="shared" si="57"/>
        <v>9</v>
      </c>
      <c r="L77" s="51">
        <f t="shared" si="51"/>
        <v>38</v>
      </c>
      <c r="M77" s="41" t="s">
        <v>195</v>
      </c>
    </row>
    <row r="78" spans="1:13" x14ac:dyDescent="0.3">
      <c r="A78" s="124">
        <v>43366</v>
      </c>
      <c r="B78" s="55" t="str">
        <f t="shared" ref="B78:B82" si="58">TEXT(WEEKDAY(A78,1),"dddd")</f>
        <v>søndag</v>
      </c>
      <c r="C78" s="17" t="s">
        <v>10</v>
      </c>
      <c r="D78" s="18">
        <v>42.4</v>
      </c>
      <c r="E78" s="19">
        <v>5</v>
      </c>
      <c r="F78" s="19">
        <v>49</v>
      </c>
      <c r="G78" s="19">
        <v>44</v>
      </c>
      <c r="H78" s="67">
        <f t="shared" ref="H78:H82" si="59">IF(D78 &lt;&gt;0,TIME(E78,F78,G78)/D78,0)</f>
        <v>5.7280747728860942E-3</v>
      </c>
      <c r="I78" s="39">
        <v>127</v>
      </c>
      <c r="J78" s="20" t="s">
        <v>136</v>
      </c>
      <c r="K78" s="119">
        <f t="shared" ref="K78:K82" si="60">IF(A78="",0,MONTH(A78))</f>
        <v>9</v>
      </c>
      <c r="L78" s="51">
        <f t="shared" si="51"/>
        <v>38</v>
      </c>
      <c r="M78" s="38" t="s">
        <v>196</v>
      </c>
    </row>
    <row r="79" spans="1:13" x14ac:dyDescent="0.3">
      <c r="A79" s="124">
        <v>43373</v>
      </c>
      <c r="B79" s="55" t="str">
        <f t="shared" si="58"/>
        <v>søndag</v>
      </c>
      <c r="C79" s="17" t="s">
        <v>14</v>
      </c>
      <c r="D79" s="18">
        <v>6.49</v>
      </c>
      <c r="E79" s="19">
        <v>0</v>
      </c>
      <c r="F79" s="19">
        <v>45</v>
      </c>
      <c r="G79" s="19">
        <v>8</v>
      </c>
      <c r="H79" s="67">
        <f t="shared" si="59"/>
        <v>4.8293671175027109E-3</v>
      </c>
      <c r="I79" s="39"/>
      <c r="J79" s="20" t="s">
        <v>136</v>
      </c>
      <c r="K79" s="119">
        <f t="shared" si="60"/>
        <v>9</v>
      </c>
      <c r="L79" s="51">
        <f t="shared" si="51"/>
        <v>39</v>
      </c>
      <c r="M79" s="38" t="s">
        <v>43</v>
      </c>
    </row>
    <row r="80" spans="1:13" x14ac:dyDescent="0.3">
      <c r="A80" s="124">
        <v>43379</v>
      </c>
      <c r="B80" s="55" t="str">
        <f t="shared" si="58"/>
        <v>lørdag</v>
      </c>
      <c r="C80" s="17" t="s">
        <v>10</v>
      </c>
      <c r="D80" s="18">
        <v>42.25</v>
      </c>
      <c r="E80" s="19">
        <v>5</v>
      </c>
      <c r="F80" s="19">
        <v>25</v>
      </c>
      <c r="G80" s="19">
        <v>28</v>
      </c>
      <c r="H80" s="67">
        <f t="shared" si="59"/>
        <v>5.3495507341661183E-3</v>
      </c>
      <c r="I80" s="39"/>
      <c r="J80" s="20" t="s">
        <v>136</v>
      </c>
      <c r="K80" s="119">
        <f t="shared" si="60"/>
        <v>10</v>
      </c>
      <c r="L80" s="51">
        <f t="shared" si="51"/>
        <v>40</v>
      </c>
      <c r="M80" s="38" t="s">
        <v>197</v>
      </c>
    </row>
    <row r="81" spans="1:13" x14ac:dyDescent="0.3">
      <c r="A81" s="124"/>
      <c r="B81" s="55" t="str">
        <f t="shared" si="58"/>
        <v>lørdag</v>
      </c>
      <c r="C81" s="17"/>
      <c r="D81" s="18"/>
      <c r="E81" s="19"/>
      <c r="F81" s="19"/>
      <c r="G81" s="19"/>
      <c r="H81" s="67">
        <f t="shared" si="59"/>
        <v>0</v>
      </c>
      <c r="I81" s="39"/>
      <c r="J81" s="20"/>
      <c r="K81" s="119">
        <f t="shared" si="60"/>
        <v>0</v>
      </c>
      <c r="L81" s="51">
        <f t="shared" si="51"/>
        <v>0</v>
      </c>
      <c r="M81" s="38"/>
    </row>
    <row r="82" spans="1:13" x14ac:dyDescent="0.3">
      <c r="A82" s="125"/>
      <c r="B82" s="55" t="str">
        <f t="shared" si="58"/>
        <v>lørdag</v>
      </c>
      <c r="C82" s="10"/>
      <c r="D82" s="11"/>
      <c r="E82" s="12"/>
      <c r="F82" s="12"/>
      <c r="G82" s="12"/>
      <c r="H82" s="68">
        <f t="shared" si="59"/>
        <v>0</v>
      </c>
      <c r="I82" s="40"/>
      <c r="J82" s="22"/>
      <c r="K82" s="49">
        <f t="shared" si="60"/>
        <v>0</v>
      </c>
      <c r="L82" s="51">
        <f t="shared" si="51"/>
        <v>0</v>
      </c>
      <c r="M82" s="41"/>
    </row>
    <row r="83" spans="1:13" x14ac:dyDescent="0.3">
      <c r="A83" s="124"/>
      <c r="B83" s="55" t="str">
        <f t="shared" ref="B83:B86" si="61">TEXT(WEEKDAY(A83,1),"dddd")</f>
        <v>lørdag</v>
      </c>
      <c r="C83" s="17"/>
      <c r="D83" s="18"/>
      <c r="E83" s="19"/>
      <c r="F83" s="19"/>
      <c r="G83" s="19"/>
      <c r="H83" s="67">
        <f t="shared" ref="H83:H86" si="62">IF(D83 &lt;&gt;0,TIME(E83,F83,G83)/D83,0)</f>
        <v>0</v>
      </c>
      <c r="I83" s="39"/>
      <c r="J83" s="20"/>
      <c r="K83" s="119">
        <f t="shared" ref="K83:K86" si="63">IF(A83="",0,MONTH(A83))</f>
        <v>0</v>
      </c>
      <c r="L83" s="51">
        <f t="shared" si="51"/>
        <v>0</v>
      </c>
      <c r="M83" s="38"/>
    </row>
    <row r="84" spans="1:13" x14ac:dyDescent="0.3">
      <c r="A84" s="124"/>
      <c r="B84" s="55" t="str">
        <f t="shared" si="61"/>
        <v>lørdag</v>
      </c>
      <c r="C84" s="17"/>
      <c r="D84" s="18"/>
      <c r="E84" s="19"/>
      <c r="F84" s="19"/>
      <c r="G84" s="19"/>
      <c r="H84" s="67">
        <f t="shared" si="62"/>
        <v>0</v>
      </c>
      <c r="I84" s="39"/>
      <c r="J84" s="20"/>
      <c r="K84" s="119">
        <f t="shared" si="63"/>
        <v>0</v>
      </c>
      <c r="L84" s="51">
        <f t="shared" si="51"/>
        <v>0</v>
      </c>
      <c r="M84" s="38"/>
    </row>
    <row r="85" spans="1:13" x14ac:dyDescent="0.3">
      <c r="A85" s="124"/>
      <c r="B85" s="55" t="str">
        <f t="shared" si="61"/>
        <v>lørdag</v>
      </c>
      <c r="C85" s="17"/>
      <c r="D85" s="18"/>
      <c r="E85" s="19"/>
      <c r="F85" s="19"/>
      <c r="G85" s="19"/>
      <c r="H85" s="67">
        <f t="shared" si="62"/>
        <v>0</v>
      </c>
      <c r="I85" s="39"/>
      <c r="J85" s="20"/>
      <c r="K85" s="119">
        <f t="shared" si="63"/>
        <v>0</v>
      </c>
      <c r="L85" s="51">
        <f t="shared" si="51"/>
        <v>0</v>
      </c>
      <c r="M85" s="38"/>
    </row>
    <row r="86" spans="1:13" x14ac:dyDescent="0.3">
      <c r="A86" s="125"/>
      <c r="B86" s="55" t="str">
        <f t="shared" si="61"/>
        <v>lørdag</v>
      </c>
      <c r="C86" s="10"/>
      <c r="D86" s="11"/>
      <c r="E86" s="12"/>
      <c r="F86" s="12"/>
      <c r="G86" s="12"/>
      <c r="H86" s="68">
        <f t="shared" si="62"/>
        <v>0</v>
      </c>
      <c r="I86" s="40"/>
      <c r="J86" s="22"/>
      <c r="K86" s="49">
        <f t="shared" si="63"/>
        <v>0</v>
      </c>
      <c r="L86" s="51">
        <f t="shared" si="51"/>
        <v>0</v>
      </c>
      <c r="M86" s="41"/>
    </row>
    <row r="87" spans="1:13" x14ac:dyDescent="0.3">
      <c r="A87" s="124"/>
      <c r="B87" s="55" t="str">
        <f t="shared" ref="B87:B90" si="64">TEXT(WEEKDAY(A87,1),"dddd")</f>
        <v>lørdag</v>
      </c>
      <c r="C87" s="17"/>
      <c r="D87" s="18"/>
      <c r="E87" s="19"/>
      <c r="F87" s="19"/>
      <c r="G87" s="19"/>
      <c r="H87" s="67">
        <f t="shared" ref="H87:H90" si="65">IF(D87 &lt;&gt;0,TIME(E87,F87,G87)/D87,0)</f>
        <v>0</v>
      </c>
      <c r="I87" s="39"/>
      <c r="J87" s="20"/>
      <c r="K87" s="119">
        <f t="shared" ref="K87:K90" si="66">IF(A87="",0,MONTH(A87))</f>
        <v>0</v>
      </c>
      <c r="L87" s="51">
        <f t="shared" si="51"/>
        <v>0</v>
      </c>
      <c r="M87" s="38"/>
    </row>
    <row r="88" spans="1:13" x14ac:dyDescent="0.3">
      <c r="A88" s="124"/>
      <c r="B88" s="55" t="str">
        <f t="shared" si="64"/>
        <v>lørdag</v>
      </c>
      <c r="C88" s="17"/>
      <c r="D88" s="18"/>
      <c r="E88" s="19"/>
      <c r="F88" s="19"/>
      <c r="G88" s="19"/>
      <c r="H88" s="67">
        <f t="shared" si="65"/>
        <v>0</v>
      </c>
      <c r="I88" s="39"/>
      <c r="J88" s="20"/>
      <c r="K88" s="119">
        <f t="shared" si="66"/>
        <v>0</v>
      </c>
      <c r="L88" s="51">
        <f t="shared" si="51"/>
        <v>0</v>
      </c>
      <c r="M88" s="38"/>
    </row>
    <row r="89" spans="1:13" x14ac:dyDescent="0.3">
      <c r="A89" s="124"/>
      <c r="B89" s="55" t="str">
        <f t="shared" si="64"/>
        <v>lørdag</v>
      </c>
      <c r="C89" s="17"/>
      <c r="D89" s="18"/>
      <c r="E89" s="19"/>
      <c r="F89" s="19"/>
      <c r="G89" s="19"/>
      <c r="H89" s="67">
        <f t="shared" si="65"/>
        <v>0</v>
      </c>
      <c r="I89" s="39"/>
      <c r="J89" s="20"/>
      <c r="K89" s="119">
        <f t="shared" si="66"/>
        <v>0</v>
      </c>
      <c r="L89" s="51">
        <f t="shared" si="51"/>
        <v>0</v>
      </c>
      <c r="M89" s="38"/>
    </row>
    <row r="90" spans="1:13" x14ac:dyDescent="0.3">
      <c r="A90" s="125"/>
      <c r="B90" s="55" t="str">
        <f t="shared" si="64"/>
        <v>lørdag</v>
      </c>
      <c r="C90" s="10"/>
      <c r="D90" s="11"/>
      <c r="E90" s="12"/>
      <c r="F90" s="12"/>
      <c r="G90" s="12"/>
      <c r="H90" s="68">
        <f t="shared" si="65"/>
        <v>0</v>
      </c>
      <c r="I90" s="40"/>
      <c r="J90" s="22"/>
      <c r="K90" s="49">
        <f t="shared" si="66"/>
        <v>0</v>
      </c>
      <c r="L90" s="51">
        <f t="shared" si="51"/>
        <v>0</v>
      </c>
      <c r="M90" s="41"/>
    </row>
    <row r="91" spans="1:13" x14ac:dyDescent="0.3">
      <c r="A91" s="124"/>
      <c r="B91" s="55" t="str">
        <f t="shared" ref="B91:B98" si="67">TEXT(WEEKDAY(A91,1),"dddd")</f>
        <v>lørdag</v>
      </c>
      <c r="C91" s="17"/>
      <c r="D91" s="18"/>
      <c r="E91" s="19"/>
      <c r="F91" s="19"/>
      <c r="G91" s="19"/>
      <c r="H91" s="67">
        <f t="shared" ref="H91:H98" si="68">IF(D91 &lt;&gt;0,TIME(E91,F91,G91)/D91,0)</f>
        <v>0</v>
      </c>
      <c r="I91" s="39"/>
      <c r="J91" s="20"/>
      <c r="K91" s="119">
        <f t="shared" ref="K91:K98" si="69">IF(A91="",0,MONTH(A91))</f>
        <v>0</v>
      </c>
      <c r="L91" s="51">
        <f t="shared" si="51"/>
        <v>0</v>
      </c>
      <c r="M91" s="38"/>
    </row>
    <row r="92" spans="1:13" x14ac:dyDescent="0.3">
      <c r="A92" s="124"/>
      <c r="B92" s="55" t="str">
        <f t="shared" si="67"/>
        <v>lørdag</v>
      </c>
      <c r="C92" s="17"/>
      <c r="D92" s="18"/>
      <c r="E92" s="19"/>
      <c r="F92" s="19"/>
      <c r="G92" s="19"/>
      <c r="H92" s="67">
        <f t="shared" si="68"/>
        <v>0</v>
      </c>
      <c r="I92" s="39"/>
      <c r="J92" s="20"/>
      <c r="K92" s="119">
        <f t="shared" si="69"/>
        <v>0</v>
      </c>
      <c r="L92" s="51">
        <f t="shared" si="51"/>
        <v>0</v>
      </c>
      <c r="M92" s="38"/>
    </row>
    <row r="93" spans="1:13" x14ac:dyDescent="0.3">
      <c r="A93" s="124"/>
      <c r="B93" s="55" t="str">
        <f t="shared" si="67"/>
        <v>lørdag</v>
      </c>
      <c r="C93" s="17"/>
      <c r="D93" s="18"/>
      <c r="E93" s="19"/>
      <c r="F93" s="19"/>
      <c r="G93" s="19"/>
      <c r="H93" s="67">
        <f t="shared" si="68"/>
        <v>0</v>
      </c>
      <c r="I93" s="39"/>
      <c r="J93" s="20"/>
      <c r="K93" s="119">
        <f t="shared" si="69"/>
        <v>0</v>
      </c>
      <c r="L93" s="51">
        <f t="shared" si="51"/>
        <v>0</v>
      </c>
      <c r="M93" s="38"/>
    </row>
    <row r="94" spans="1:13" x14ac:dyDescent="0.3">
      <c r="A94" s="124"/>
      <c r="B94" s="55" t="str">
        <f t="shared" si="67"/>
        <v>lørdag</v>
      </c>
      <c r="C94" s="17"/>
      <c r="D94" s="18"/>
      <c r="E94" s="19"/>
      <c r="F94" s="19"/>
      <c r="G94" s="19"/>
      <c r="H94" s="67">
        <f t="shared" si="68"/>
        <v>0</v>
      </c>
      <c r="I94" s="39"/>
      <c r="J94" s="20"/>
      <c r="K94" s="119">
        <f t="shared" si="69"/>
        <v>0</v>
      </c>
      <c r="L94" s="51">
        <f t="shared" si="51"/>
        <v>0</v>
      </c>
      <c r="M94" s="38"/>
    </row>
    <row r="95" spans="1:13" x14ac:dyDescent="0.3">
      <c r="A95" s="124"/>
      <c r="B95" s="55" t="str">
        <f t="shared" si="67"/>
        <v>lørdag</v>
      </c>
      <c r="C95" s="17"/>
      <c r="D95" s="18"/>
      <c r="E95" s="19"/>
      <c r="F95" s="19"/>
      <c r="G95" s="19"/>
      <c r="H95" s="67">
        <f t="shared" si="68"/>
        <v>0</v>
      </c>
      <c r="I95" s="39"/>
      <c r="J95" s="20"/>
      <c r="K95" s="119">
        <f t="shared" si="69"/>
        <v>0</v>
      </c>
      <c r="L95" s="51">
        <f t="shared" si="51"/>
        <v>0</v>
      </c>
      <c r="M95" s="38"/>
    </row>
    <row r="96" spans="1:13" x14ac:dyDescent="0.3">
      <c r="A96" s="124"/>
      <c r="B96" s="55" t="str">
        <f t="shared" si="67"/>
        <v>lørdag</v>
      </c>
      <c r="C96" s="17"/>
      <c r="D96" s="18"/>
      <c r="E96" s="19"/>
      <c r="F96" s="19"/>
      <c r="G96" s="19"/>
      <c r="H96" s="67">
        <f t="shared" si="68"/>
        <v>0</v>
      </c>
      <c r="I96" s="39"/>
      <c r="J96" s="20"/>
      <c r="K96" s="119">
        <f t="shared" si="69"/>
        <v>0</v>
      </c>
      <c r="L96" s="51">
        <f t="shared" si="51"/>
        <v>0</v>
      </c>
      <c r="M96" s="38"/>
    </row>
    <row r="97" spans="1:13" x14ac:dyDescent="0.3">
      <c r="A97" s="124"/>
      <c r="B97" s="55" t="str">
        <f t="shared" si="67"/>
        <v>lørdag</v>
      </c>
      <c r="C97" s="17"/>
      <c r="D97" s="18"/>
      <c r="E97" s="19"/>
      <c r="F97" s="19"/>
      <c r="G97" s="19"/>
      <c r="H97" s="67">
        <f t="shared" si="68"/>
        <v>0</v>
      </c>
      <c r="I97" s="39"/>
      <c r="J97" s="20"/>
      <c r="K97" s="119">
        <f t="shared" si="69"/>
        <v>0</v>
      </c>
      <c r="L97" s="51">
        <f t="shared" si="51"/>
        <v>0</v>
      </c>
      <c r="M97" s="38"/>
    </row>
    <row r="98" spans="1:13" x14ac:dyDescent="0.3">
      <c r="A98" s="125"/>
      <c r="B98" s="55" t="str">
        <f t="shared" si="67"/>
        <v>lørdag</v>
      </c>
      <c r="C98" s="10"/>
      <c r="D98" s="11"/>
      <c r="E98" s="12"/>
      <c r="F98" s="12"/>
      <c r="G98" s="12"/>
      <c r="H98" s="68">
        <f t="shared" si="68"/>
        <v>0</v>
      </c>
      <c r="I98" s="40"/>
      <c r="J98" s="22"/>
      <c r="K98" s="49">
        <f t="shared" si="69"/>
        <v>0</v>
      </c>
      <c r="L98" s="51">
        <f t="shared" si="51"/>
        <v>0</v>
      </c>
      <c r="M98" s="41"/>
    </row>
    <row r="99" spans="1:13" x14ac:dyDescent="0.3">
      <c r="A99" s="125"/>
      <c r="B99" s="55" t="str">
        <f>TEXT(WEEKDAY(A99,1),"dddd")</f>
        <v>lørdag</v>
      </c>
      <c r="C99" s="10"/>
      <c r="D99" s="11"/>
      <c r="E99" s="12"/>
      <c r="F99" s="12"/>
      <c r="G99" s="12"/>
      <c r="H99" s="68">
        <f>IF(D99 &lt;&gt;0,TIME(E99,F99,G99)/D99,0)</f>
        <v>0</v>
      </c>
      <c r="I99" s="40"/>
      <c r="J99" s="22"/>
      <c r="K99" s="49">
        <f>IF(A99="",0,MONTH(A99))</f>
        <v>0</v>
      </c>
      <c r="L99" s="51">
        <f t="shared" si="51"/>
        <v>0</v>
      </c>
      <c r="M99" s="41"/>
    </row>
    <row r="100" spans="1:13" x14ac:dyDescent="0.3">
      <c r="A100" s="124"/>
      <c r="B100" s="55" t="str">
        <f t="shared" ref="B100:B105" si="70">TEXT(WEEKDAY(A100,1),"dddd")</f>
        <v>lørdag</v>
      </c>
      <c r="C100" s="17"/>
      <c r="D100" s="18"/>
      <c r="E100" s="19"/>
      <c r="F100" s="19"/>
      <c r="G100" s="19"/>
      <c r="H100" s="67">
        <f t="shared" ref="H100:H105" si="71">IF(D100 &lt;&gt;0,TIME(E100,F100,G100)/D100,0)</f>
        <v>0</v>
      </c>
      <c r="I100" s="39"/>
      <c r="J100" s="20"/>
      <c r="K100" s="119">
        <f t="shared" ref="K100:K105" si="72">IF(A100="",0,MONTH(A100))</f>
        <v>0</v>
      </c>
      <c r="L100" s="51">
        <f t="shared" si="51"/>
        <v>0</v>
      </c>
      <c r="M100" s="38"/>
    </row>
    <row r="101" spans="1:13" x14ac:dyDescent="0.3">
      <c r="A101" s="124"/>
      <c r="B101" s="55" t="str">
        <f t="shared" si="70"/>
        <v>lørdag</v>
      </c>
      <c r="C101" s="17"/>
      <c r="D101" s="18"/>
      <c r="E101" s="19"/>
      <c r="F101" s="19"/>
      <c r="G101" s="19"/>
      <c r="H101" s="67">
        <f t="shared" si="71"/>
        <v>0</v>
      </c>
      <c r="I101" s="39"/>
      <c r="J101" s="20"/>
      <c r="K101" s="119">
        <f t="shared" si="72"/>
        <v>0</v>
      </c>
      <c r="L101" s="51">
        <f t="shared" si="51"/>
        <v>0</v>
      </c>
      <c r="M101" s="38"/>
    </row>
    <row r="102" spans="1:13" x14ac:dyDescent="0.3">
      <c r="A102" s="124"/>
      <c r="B102" s="55" t="str">
        <f t="shared" si="70"/>
        <v>lørdag</v>
      </c>
      <c r="C102" s="17"/>
      <c r="D102" s="18"/>
      <c r="E102" s="19"/>
      <c r="F102" s="19"/>
      <c r="G102" s="19"/>
      <c r="H102" s="67">
        <f t="shared" si="71"/>
        <v>0</v>
      </c>
      <c r="I102" s="39"/>
      <c r="J102" s="20"/>
      <c r="K102" s="119">
        <f t="shared" si="72"/>
        <v>0</v>
      </c>
      <c r="L102" s="51">
        <f t="shared" si="51"/>
        <v>0</v>
      </c>
      <c r="M102" s="38"/>
    </row>
    <row r="103" spans="1:13" x14ac:dyDescent="0.3">
      <c r="A103" s="124"/>
      <c r="B103" s="55" t="str">
        <f t="shared" si="70"/>
        <v>lørdag</v>
      </c>
      <c r="C103" s="17"/>
      <c r="D103" s="18"/>
      <c r="E103" s="19"/>
      <c r="F103" s="19"/>
      <c r="G103" s="19"/>
      <c r="H103" s="67">
        <f t="shared" si="71"/>
        <v>0</v>
      </c>
      <c r="I103" s="39"/>
      <c r="J103" s="20"/>
      <c r="K103" s="119">
        <f t="shared" si="72"/>
        <v>0</v>
      </c>
      <c r="L103" s="51">
        <f t="shared" si="51"/>
        <v>0</v>
      </c>
      <c r="M103" s="38"/>
    </row>
    <row r="104" spans="1:13" x14ac:dyDescent="0.3">
      <c r="A104" s="124"/>
      <c r="B104" s="55" t="str">
        <f t="shared" si="70"/>
        <v>lørdag</v>
      </c>
      <c r="C104" s="17"/>
      <c r="D104" s="18"/>
      <c r="E104" s="19"/>
      <c r="F104" s="19"/>
      <c r="G104" s="19"/>
      <c r="H104" s="67">
        <f t="shared" si="71"/>
        <v>0</v>
      </c>
      <c r="I104" s="39"/>
      <c r="J104" s="20"/>
      <c r="K104" s="119">
        <f t="shared" si="72"/>
        <v>0</v>
      </c>
      <c r="L104" s="51">
        <f t="shared" si="51"/>
        <v>0</v>
      </c>
      <c r="M104" s="38"/>
    </row>
    <row r="105" spans="1:13" x14ac:dyDescent="0.3">
      <c r="A105" s="125"/>
      <c r="B105" s="55" t="str">
        <f t="shared" si="70"/>
        <v>lørdag</v>
      </c>
      <c r="C105" s="10"/>
      <c r="D105" s="11"/>
      <c r="E105" s="12"/>
      <c r="F105" s="12"/>
      <c r="G105" s="12"/>
      <c r="H105" s="68">
        <f t="shared" si="71"/>
        <v>0</v>
      </c>
      <c r="I105" s="40"/>
      <c r="J105" s="22"/>
      <c r="K105" s="49">
        <f t="shared" si="72"/>
        <v>0</v>
      </c>
      <c r="L105" s="51">
        <f t="shared" si="51"/>
        <v>0</v>
      </c>
      <c r="M105" s="41"/>
    </row>
    <row r="106" spans="1:13" x14ac:dyDescent="0.3">
      <c r="A106" s="124"/>
      <c r="B106" s="55" t="str">
        <f t="shared" ref="B106:B107" si="73">TEXT(WEEKDAY(A106,1),"dddd")</f>
        <v>lørdag</v>
      </c>
      <c r="C106" s="17"/>
      <c r="D106" s="18"/>
      <c r="E106" s="19"/>
      <c r="F106" s="19"/>
      <c r="G106" s="19"/>
      <c r="H106" s="67">
        <f t="shared" ref="H106:H107" si="74">IF(D106 &lt;&gt;0,TIME(E106,F106,G106)/D106,0)</f>
        <v>0</v>
      </c>
      <c r="I106" s="39"/>
      <c r="J106" s="20"/>
      <c r="K106" s="119">
        <f t="shared" ref="K106:K107" si="75">IF(A106="",0,MONTH(A106))</f>
        <v>0</v>
      </c>
      <c r="L106" s="51">
        <f t="shared" si="51"/>
        <v>0</v>
      </c>
      <c r="M106" s="38"/>
    </row>
    <row r="107" spans="1:13" x14ac:dyDescent="0.3">
      <c r="A107" s="125"/>
      <c r="B107" s="55" t="str">
        <f t="shared" si="73"/>
        <v>lørdag</v>
      </c>
      <c r="C107" s="10"/>
      <c r="D107" s="11"/>
      <c r="E107" s="12"/>
      <c r="F107" s="12"/>
      <c r="G107" s="12"/>
      <c r="H107" s="68">
        <f t="shared" si="74"/>
        <v>0</v>
      </c>
      <c r="I107" s="40"/>
      <c r="J107" s="22"/>
      <c r="K107" s="49">
        <f t="shared" si="75"/>
        <v>0</v>
      </c>
      <c r="L107" s="51">
        <f t="shared" si="51"/>
        <v>0</v>
      </c>
      <c r="M107" s="41"/>
    </row>
    <row r="108" spans="1:13" x14ac:dyDescent="0.3">
      <c r="A108" s="125"/>
      <c r="B108" s="55" t="str">
        <f t="shared" ref="B108:B110" si="76">TEXT(WEEKDAY(A108,1),"dddd")</f>
        <v>lørdag</v>
      </c>
      <c r="C108" s="10"/>
      <c r="D108" s="11"/>
      <c r="E108" s="12"/>
      <c r="F108" s="12"/>
      <c r="G108" s="12"/>
      <c r="H108" s="68">
        <f t="shared" ref="H108:H110" si="77">IF(D108 &lt;&gt;0,TIME(E108,F108,G108)/D108,0)</f>
        <v>0</v>
      </c>
      <c r="I108" s="40"/>
      <c r="J108" s="22"/>
      <c r="K108" s="49">
        <f t="shared" ref="K108:K110" si="78">IF(A108="",0,MONTH(A108))</f>
        <v>0</v>
      </c>
      <c r="L108" s="51">
        <f t="shared" si="51"/>
        <v>0</v>
      </c>
      <c r="M108" s="41"/>
    </row>
    <row r="109" spans="1:13" x14ac:dyDescent="0.3">
      <c r="A109" s="124"/>
      <c r="B109" s="55" t="str">
        <f t="shared" si="76"/>
        <v>lørdag</v>
      </c>
      <c r="C109" s="17"/>
      <c r="D109" s="18"/>
      <c r="E109" s="19"/>
      <c r="F109" s="19"/>
      <c r="G109" s="19"/>
      <c r="H109" s="67">
        <f t="shared" si="77"/>
        <v>0</v>
      </c>
      <c r="I109" s="39"/>
      <c r="J109" s="20"/>
      <c r="K109" s="119">
        <f t="shared" si="78"/>
        <v>0</v>
      </c>
      <c r="L109" s="51">
        <f t="shared" si="51"/>
        <v>0</v>
      </c>
      <c r="M109" s="38"/>
    </row>
    <row r="110" spans="1:13" x14ac:dyDescent="0.3">
      <c r="A110" s="125"/>
      <c r="B110" s="55" t="str">
        <f t="shared" si="76"/>
        <v>lørdag</v>
      </c>
      <c r="C110" s="10"/>
      <c r="D110" s="11"/>
      <c r="E110" s="12"/>
      <c r="F110" s="12"/>
      <c r="G110" s="12"/>
      <c r="H110" s="68">
        <f t="shared" si="77"/>
        <v>0</v>
      </c>
      <c r="I110" s="40"/>
      <c r="J110" s="22"/>
      <c r="K110" s="49">
        <f t="shared" si="78"/>
        <v>0</v>
      </c>
      <c r="L110" s="51">
        <f t="shared" si="51"/>
        <v>0</v>
      </c>
      <c r="M110" s="41"/>
    </row>
    <row r="111" spans="1:13" x14ac:dyDescent="0.3">
      <c r="A111" s="124"/>
      <c r="B111" s="55" t="str">
        <f t="shared" ref="B111:B122" si="79">TEXT(WEEKDAY(A111,1),"dddd")</f>
        <v>lørdag</v>
      </c>
      <c r="C111" s="17"/>
      <c r="D111" s="18"/>
      <c r="E111" s="19"/>
      <c r="F111" s="19"/>
      <c r="G111" s="19"/>
      <c r="H111" s="67">
        <f t="shared" ref="H111:H122" si="80">IF(D111 &lt;&gt;0,TIME(E111,F111,G111)/D111,0)</f>
        <v>0</v>
      </c>
      <c r="I111" s="39"/>
      <c r="J111" s="20"/>
      <c r="K111" s="119">
        <f t="shared" ref="K111:K122" si="81">IF(A111="",0,MONTH(A111))</f>
        <v>0</v>
      </c>
      <c r="L111" s="134"/>
      <c r="M111" s="38"/>
    </row>
    <row r="112" spans="1:13" x14ac:dyDescent="0.3">
      <c r="A112" s="124"/>
      <c r="B112" s="55" t="str">
        <f t="shared" si="79"/>
        <v>lørdag</v>
      </c>
      <c r="C112" s="17"/>
      <c r="D112" s="18"/>
      <c r="E112" s="19"/>
      <c r="F112" s="19"/>
      <c r="G112" s="19"/>
      <c r="H112" s="67">
        <f t="shared" si="80"/>
        <v>0</v>
      </c>
      <c r="I112" s="39"/>
      <c r="J112" s="20"/>
      <c r="K112" s="119">
        <f t="shared" si="81"/>
        <v>0</v>
      </c>
      <c r="L112" s="135"/>
      <c r="M112" s="38"/>
    </row>
    <row r="113" spans="1:13" x14ac:dyDescent="0.3">
      <c r="A113" s="124"/>
      <c r="B113" s="55" t="str">
        <f t="shared" si="79"/>
        <v>lørdag</v>
      </c>
      <c r="C113" s="17"/>
      <c r="D113" s="18"/>
      <c r="E113" s="19"/>
      <c r="F113" s="19"/>
      <c r="G113" s="19"/>
      <c r="H113" s="67">
        <f t="shared" si="80"/>
        <v>0</v>
      </c>
      <c r="I113" s="39"/>
      <c r="J113" s="20"/>
      <c r="K113" s="119">
        <f t="shared" si="81"/>
        <v>0</v>
      </c>
      <c r="L113" s="135"/>
      <c r="M113" s="38"/>
    </row>
    <row r="114" spans="1:13" x14ac:dyDescent="0.3">
      <c r="A114" s="124"/>
      <c r="B114" s="55" t="str">
        <f t="shared" si="79"/>
        <v>lørdag</v>
      </c>
      <c r="C114" s="17"/>
      <c r="D114" s="18"/>
      <c r="E114" s="19"/>
      <c r="F114" s="19"/>
      <c r="G114" s="19"/>
      <c r="H114" s="67">
        <f t="shared" si="80"/>
        <v>0</v>
      </c>
      <c r="I114" s="39"/>
      <c r="J114" s="20"/>
      <c r="K114" s="119">
        <f t="shared" si="81"/>
        <v>0</v>
      </c>
      <c r="L114" s="135"/>
      <c r="M114" s="38"/>
    </row>
    <row r="115" spans="1:13" x14ac:dyDescent="0.3">
      <c r="A115" s="124"/>
      <c r="B115" s="55" t="str">
        <f t="shared" si="79"/>
        <v>lørdag</v>
      </c>
      <c r="C115" s="17"/>
      <c r="D115" s="18"/>
      <c r="E115" s="19"/>
      <c r="F115" s="19"/>
      <c r="G115" s="19"/>
      <c r="H115" s="67">
        <f t="shared" si="80"/>
        <v>0</v>
      </c>
      <c r="I115" s="39"/>
      <c r="J115" s="20"/>
      <c r="K115" s="119">
        <f t="shared" si="81"/>
        <v>0</v>
      </c>
      <c r="L115" s="135"/>
      <c r="M115" s="38"/>
    </row>
    <row r="116" spans="1:13" x14ac:dyDescent="0.3">
      <c r="A116" s="124"/>
      <c r="B116" s="55" t="str">
        <f t="shared" si="79"/>
        <v>lørdag</v>
      </c>
      <c r="C116" s="17"/>
      <c r="D116" s="18"/>
      <c r="E116" s="19"/>
      <c r="F116" s="19"/>
      <c r="G116" s="19"/>
      <c r="H116" s="67">
        <f t="shared" si="80"/>
        <v>0</v>
      </c>
      <c r="I116" s="39"/>
      <c r="J116" s="20"/>
      <c r="K116" s="119">
        <f t="shared" si="81"/>
        <v>0</v>
      </c>
      <c r="L116" s="135"/>
      <c r="M116" s="38"/>
    </row>
    <row r="117" spans="1:13" x14ac:dyDescent="0.3">
      <c r="A117" s="124"/>
      <c r="B117" s="55" t="str">
        <f t="shared" si="79"/>
        <v>lørdag</v>
      </c>
      <c r="C117" s="17"/>
      <c r="D117" s="18"/>
      <c r="E117" s="19"/>
      <c r="F117" s="19"/>
      <c r="G117" s="19"/>
      <c r="H117" s="67">
        <f t="shared" si="80"/>
        <v>0</v>
      </c>
      <c r="I117" s="39"/>
      <c r="J117" s="20"/>
      <c r="K117" s="119">
        <f t="shared" si="81"/>
        <v>0</v>
      </c>
      <c r="L117" s="135"/>
      <c r="M117" s="38"/>
    </row>
    <row r="118" spans="1:13" x14ac:dyDescent="0.3">
      <c r="A118" s="124"/>
      <c r="B118" s="55" t="str">
        <f t="shared" si="79"/>
        <v>lørdag</v>
      </c>
      <c r="C118" s="17"/>
      <c r="D118" s="18"/>
      <c r="E118" s="19"/>
      <c r="F118" s="19"/>
      <c r="G118" s="19"/>
      <c r="H118" s="67">
        <f t="shared" si="80"/>
        <v>0</v>
      </c>
      <c r="I118" s="39"/>
      <c r="J118" s="20"/>
      <c r="K118" s="119">
        <f t="shared" si="81"/>
        <v>0</v>
      </c>
      <c r="L118" s="135"/>
      <c r="M118" s="38"/>
    </row>
    <row r="119" spans="1:13" x14ac:dyDescent="0.3">
      <c r="A119" s="124"/>
      <c r="B119" s="55" t="str">
        <f t="shared" si="79"/>
        <v>lørdag</v>
      </c>
      <c r="C119" s="17"/>
      <c r="D119" s="18"/>
      <c r="E119" s="19"/>
      <c r="F119" s="19"/>
      <c r="G119" s="19"/>
      <c r="H119" s="67">
        <f t="shared" si="80"/>
        <v>0</v>
      </c>
      <c r="I119" s="39"/>
      <c r="J119" s="20"/>
      <c r="K119" s="119">
        <f t="shared" si="81"/>
        <v>0</v>
      </c>
      <c r="L119" s="135"/>
      <c r="M119" s="38"/>
    </row>
    <row r="120" spans="1:13" x14ac:dyDescent="0.3">
      <c r="A120" s="124"/>
      <c r="B120" s="55" t="str">
        <f t="shared" si="79"/>
        <v>lørdag</v>
      </c>
      <c r="C120" s="17"/>
      <c r="D120" s="18"/>
      <c r="E120" s="19"/>
      <c r="F120" s="19"/>
      <c r="G120" s="19"/>
      <c r="H120" s="67">
        <f t="shared" si="80"/>
        <v>0</v>
      </c>
      <c r="I120" s="39"/>
      <c r="J120" s="20"/>
      <c r="K120" s="119">
        <f t="shared" si="81"/>
        <v>0</v>
      </c>
      <c r="L120" s="135"/>
      <c r="M120" s="38"/>
    </row>
    <row r="121" spans="1:13" x14ac:dyDescent="0.3">
      <c r="A121" s="124"/>
      <c r="B121" s="55" t="str">
        <f t="shared" si="79"/>
        <v>lørdag</v>
      </c>
      <c r="C121" s="17"/>
      <c r="D121" s="18"/>
      <c r="E121" s="19"/>
      <c r="F121" s="19"/>
      <c r="G121" s="19"/>
      <c r="H121" s="67">
        <f t="shared" si="80"/>
        <v>0</v>
      </c>
      <c r="I121" s="39"/>
      <c r="J121" s="20"/>
      <c r="K121" s="119">
        <f t="shared" si="81"/>
        <v>0</v>
      </c>
      <c r="L121" s="135"/>
      <c r="M121" s="38"/>
    </row>
    <row r="122" spans="1:13" x14ac:dyDescent="0.3">
      <c r="A122" s="125"/>
      <c r="B122" s="55" t="str">
        <f t="shared" si="79"/>
        <v>lørdag</v>
      </c>
      <c r="C122" s="10"/>
      <c r="D122" s="11"/>
      <c r="E122" s="12"/>
      <c r="F122" s="12"/>
      <c r="G122" s="12"/>
      <c r="H122" s="68">
        <f t="shared" si="80"/>
        <v>0</v>
      </c>
      <c r="I122" s="40"/>
      <c r="J122" s="22"/>
      <c r="K122" s="49">
        <f t="shared" si="81"/>
        <v>0</v>
      </c>
      <c r="L122" s="135"/>
      <c r="M122" s="41"/>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Skemaer!$J$6:$J$12</xm:f>
          </x14:formula1>
          <xm:sqref>J3:J122</xm:sqref>
        </x14:dataValidation>
        <x14:dataValidation type="list" allowBlank="1" showInputMessage="1" showErrorMessage="1" xr:uid="{00000000-0002-0000-0100-000001000000}">
          <x14:formula1>
            <xm:f>Skemaer!$K$16:$K$20</xm:f>
          </x14:formula1>
          <xm:sqref>C3:C122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S22"/>
  <sheetViews>
    <sheetView topLeftCell="A2" zoomScale="70" zoomScaleNormal="70" zoomScalePageLayoutView="130" workbookViewId="0">
      <selection activeCell="D6" sqref="D6"/>
    </sheetView>
  </sheetViews>
  <sheetFormatPr defaultColWidth="11.19921875" defaultRowHeight="15.6" x14ac:dyDescent="0.3"/>
  <cols>
    <col min="2" max="2" width="6.8984375" customWidth="1"/>
    <col min="4" max="8" width="5.296875" customWidth="1"/>
    <col min="9" max="9" width="3.296875" customWidth="1"/>
    <col min="10" max="10" width="11.5" bestFit="1" customWidth="1"/>
    <col min="11" max="11" width="19.296875" bestFit="1" customWidth="1"/>
    <col min="15" max="15" width="4" customWidth="1"/>
    <col min="16" max="16" width="9.796875" customWidth="1"/>
    <col min="18" max="21" width="5.69921875" bestFit="1" customWidth="1"/>
    <col min="22" max="70" width="4.69921875" bestFit="1" customWidth="1"/>
  </cols>
  <sheetData>
    <row r="2" spans="1:71" x14ac:dyDescent="0.3">
      <c r="J2" s="5" t="s">
        <v>47</v>
      </c>
    </row>
    <row r="3" spans="1:71" x14ac:dyDescent="0.3">
      <c r="J3" s="47">
        <v>2018</v>
      </c>
    </row>
    <row r="5" spans="1:71" x14ac:dyDescent="0.3">
      <c r="A5" s="5" t="s">
        <v>28</v>
      </c>
      <c r="B5" s="6"/>
      <c r="C5" s="6" t="s">
        <v>3</v>
      </c>
      <c r="D5" s="9" t="str">
        <f>Skemaer!$K$16</f>
        <v>D</v>
      </c>
      <c r="E5" s="9" t="str">
        <f>Skemaer!$K$17</f>
        <v>I</v>
      </c>
      <c r="F5" s="9" t="str">
        <f>Skemaer!$K$18</f>
        <v>R</v>
      </c>
      <c r="G5" s="9" t="str">
        <f>Skemaer!$K$19</f>
        <v>T</v>
      </c>
      <c r="H5" s="9" t="str">
        <f>Skemaer!$K$20</f>
        <v>K</v>
      </c>
      <c r="J5" t="s">
        <v>5</v>
      </c>
      <c r="K5" t="s">
        <v>33</v>
      </c>
      <c r="L5" t="s">
        <v>30</v>
      </c>
      <c r="M5" t="s">
        <v>31</v>
      </c>
      <c r="N5" t="s">
        <v>29</v>
      </c>
      <c r="P5" s="5" t="s">
        <v>46</v>
      </c>
      <c r="Q5" s="5" t="s">
        <v>29</v>
      </c>
      <c r="R5" s="5">
        <v>0</v>
      </c>
      <c r="S5" s="5">
        <v>1</v>
      </c>
      <c r="T5" s="5">
        <v>2</v>
      </c>
      <c r="U5" s="5">
        <v>3</v>
      </c>
      <c r="V5" s="5">
        <v>4</v>
      </c>
      <c r="W5" s="5">
        <v>5</v>
      </c>
      <c r="X5" s="5">
        <v>6</v>
      </c>
      <c r="Y5" s="5">
        <v>7</v>
      </c>
      <c r="Z5" s="5">
        <v>8</v>
      </c>
      <c r="AA5" s="5">
        <v>9</v>
      </c>
      <c r="AB5" s="5">
        <v>10</v>
      </c>
      <c r="AC5" s="5">
        <v>11</v>
      </c>
      <c r="AD5" s="5">
        <v>12</v>
      </c>
      <c r="AE5" s="5">
        <v>13</v>
      </c>
      <c r="AF5" s="5">
        <v>14</v>
      </c>
      <c r="AG5" s="5">
        <v>15</v>
      </c>
      <c r="AH5" s="5">
        <v>16</v>
      </c>
      <c r="AI5" s="5">
        <v>17</v>
      </c>
      <c r="AJ5" s="5">
        <v>18</v>
      </c>
      <c r="AK5" s="5">
        <v>19</v>
      </c>
      <c r="AL5" s="5">
        <v>20</v>
      </c>
      <c r="AM5" s="5">
        <v>21</v>
      </c>
      <c r="AN5" s="5">
        <v>22</v>
      </c>
      <c r="AO5" s="5">
        <v>23</v>
      </c>
      <c r="AP5" s="5">
        <v>24</v>
      </c>
      <c r="AQ5" s="5">
        <v>25</v>
      </c>
      <c r="AR5" s="5">
        <v>26</v>
      </c>
      <c r="AS5" s="5">
        <v>27</v>
      </c>
      <c r="AT5" s="5">
        <v>28</v>
      </c>
      <c r="AU5" s="5">
        <v>29</v>
      </c>
      <c r="AV5" s="5">
        <v>30</v>
      </c>
      <c r="AW5" s="5">
        <v>31</v>
      </c>
      <c r="AX5" s="5">
        <v>32</v>
      </c>
      <c r="AY5" s="5">
        <v>33</v>
      </c>
      <c r="AZ5" s="5">
        <v>34</v>
      </c>
      <c r="BA5" s="5">
        <v>35</v>
      </c>
      <c r="BB5" s="5">
        <v>36</v>
      </c>
      <c r="BC5" s="5">
        <v>37</v>
      </c>
      <c r="BD5" s="5">
        <v>38</v>
      </c>
      <c r="BE5" s="5">
        <v>39</v>
      </c>
      <c r="BF5" s="5">
        <v>40</v>
      </c>
      <c r="BG5" s="5">
        <v>41</v>
      </c>
      <c r="BH5" s="5">
        <v>42</v>
      </c>
      <c r="BI5" s="5">
        <v>43</v>
      </c>
      <c r="BJ5" s="5">
        <v>44</v>
      </c>
      <c r="BK5" s="5">
        <v>45</v>
      </c>
      <c r="BL5" s="5">
        <v>46</v>
      </c>
      <c r="BM5" s="5">
        <v>47</v>
      </c>
      <c r="BN5" s="5">
        <v>48</v>
      </c>
      <c r="BO5" s="5">
        <v>49</v>
      </c>
      <c r="BP5" s="5">
        <v>50</v>
      </c>
      <c r="BQ5" s="5">
        <v>51</v>
      </c>
      <c r="BR5" s="5">
        <v>52</v>
      </c>
    </row>
    <row r="6" spans="1:71" x14ac:dyDescent="0.3">
      <c r="A6" s="7" t="s">
        <v>16</v>
      </c>
      <c r="B6" s="34">
        <v>1</v>
      </c>
      <c r="C6" s="2">
        <f>SUMIF(Tabel1[[#All],[Mdr.]],B6,Tabel1[[#All],[Distance]])</f>
        <v>213.30999999999995</v>
      </c>
      <c r="D6" s="35">
        <f>SUMIFS(Tabel1[[#All],[Distance]],Tabel1[[#All],[Mdr.]],$B6,Tabel1[[#All],[Type]],Skemaer!$K$16)</f>
        <v>56.230000000000004</v>
      </c>
      <c r="E6" s="35">
        <f>SUMIFS(Tabel1[[#All],[Distance]],Tabel1[[#All],[Mdr.]],$B6,Tabel1[[#All],[Type]],Skemaer!$K$17)</f>
        <v>0</v>
      </c>
      <c r="F6" s="35">
        <f>SUMIFS(Tabel1[[#All],[Distance]],Tabel1[[#All],[Mdr.]],$B6,Tabel1[[#All],[Type]],Skemaer!$K$18)</f>
        <v>62.24</v>
      </c>
      <c r="G6" s="35">
        <f>SUMIFS(Tabel1[[#All],[Distance]],Tabel1[[#All],[Mdr.]],$B6,Tabel1[[#All],[Type]],Skemaer!$K$19)</f>
        <v>0</v>
      </c>
      <c r="H6" s="35">
        <f>SUMIFS(Tabel1[[#All],[Distance]],Tabel1[[#All],[Mdr.]],$B6,Tabel1[[#All],[Type]],Skemaer!$K$20)</f>
        <v>94.84</v>
      </c>
      <c r="J6" t="s">
        <v>32</v>
      </c>
      <c r="K6" t="s">
        <v>34</v>
      </c>
      <c r="L6" s="2">
        <v>246.79</v>
      </c>
      <c r="M6" s="2">
        <f>SUMIF(Tabel1[Sko],J6,Tabel1[Distance])</f>
        <v>17.419999999999998</v>
      </c>
      <c r="N6" s="2">
        <f t="shared" ref="N6:N12" si="0">SUM(L6:M6)</f>
        <v>264.20999999999998</v>
      </c>
      <c r="P6" s="54" t="str">
        <f>Skemaer!$K$16</f>
        <v>D</v>
      </c>
      <c r="Q6" s="52">
        <f t="shared" ref="Q6:Q11" si="1">SUM(R6:BR6)</f>
        <v>364.39</v>
      </c>
      <c r="R6" s="53">
        <f>SUMIFS(Tabel1[[#All],[Distance]],Tabel1[[#All],[Uge]],R$5,Tabel1[[#All],[Type]],Skemaer!$K$16)</f>
        <v>0</v>
      </c>
      <c r="S6" s="53">
        <f>SUMIFS(Tabel1[[#All],[Distance]],Tabel1[[#All],[Uge]],S$5,Tabel1[[#All],[Type]],Skemaer!$K$16)</f>
        <v>16.03</v>
      </c>
      <c r="T6" s="53">
        <f>SUMIFS(Tabel1[[#All],[Distance]],Tabel1[[#All],[Uge]],T$5,Tabel1[[#All],[Type]],Skemaer!$K$16)</f>
        <v>19.100000000000001</v>
      </c>
      <c r="U6" s="53">
        <f>SUMIFS(Tabel1[[#All],[Distance]],Tabel1[[#All],[Uge]],U$5,Tabel1[[#All],[Type]],Skemaer!$K$16)</f>
        <v>0</v>
      </c>
      <c r="V6" s="53">
        <f>SUMIFS(Tabel1[[#All],[Distance]],Tabel1[[#All],[Uge]],V$5,Tabel1[[#All],[Type]],Skemaer!$K$16)</f>
        <v>21.1</v>
      </c>
      <c r="W6" s="53">
        <f>SUMIFS(Tabel1[[#All],[Distance]],Tabel1[[#All],[Uge]],W$5,Tabel1[[#All],[Type]],Skemaer!$K$16)</f>
        <v>23.15</v>
      </c>
      <c r="X6" s="53">
        <f>SUMIFS(Tabel1[[#All],[Distance]],Tabel1[[#All],[Uge]],X$5,Tabel1[[#All],[Type]],Skemaer!$K$16)</f>
        <v>22.08</v>
      </c>
      <c r="Y6" s="53">
        <f>SUMIFS(Tabel1[[#All],[Distance]],Tabel1[[#All],[Uge]],Y$5,Tabel1[[#All],[Type]],Skemaer!$K$16)</f>
        <v>24.12</v>
      </c>
      <c r="Z6" s="53">
        <f>SUMIFS(Tabel1[[#All],[Distance]],Tabel1[[#All],[Uge]],Z$5,Tabel1[[#All],[Type]],Skemaer!$K$16)</f>
        <v>0</v>
      </c>
      <c r="AA6" s="53">
        <f>SUMIFS(Tabel1[[#All],[Distance]],Tabel1[[#All],[Uge]],AA$5,Tabel1[[#All],[Type]],Skemaer!$K$16)</f>
        <v>24.47</v>
      </c>
      <c r="AB6" s="53">
        <f>SUMIFS(Tabel1[[#All],[Distance]],Tabel1[[#All],[Uge]],AB$5,Tabel1[[#All],[Type]],Skemaer!$K$16)</f>
        <v>10.050000000000001</v>
      </c>
      <c r="AC6" s="53">
        <f>SUMIFS(Tabel1[[#All],[Distance]],Tabel1[[#All],[Uge]],AC$5,Tabel1[[#All],[Type]],Skemaer!$K$16)</f>
        <v>21.66</v>
      </c>
      <c r="AD6" s="53">
        <f>SUMIFS(Tabel1[[#All],[Distance]],Tabel1[[#All],[Uge]],AD$5,Tabel1[[#All],[Type]],Skemaer!$K$16)</f>
        <v>26.26</v>
      </c>
      <c r="AE6" s="53">
        <f>SUMIFS(Tabel1[[#All],[Distance]],Tabel1[[#All],[Uge]],AE$5,Tabel1[[#All],[Type]],Skemaer!$K$16)</f>
        <v>28.01</v>
      </c>
      <c r="AF6" s="53">
        <f>SUMIFS(Tabel1[[#All],[Distance]],Tabel1[[#All],[Uge]],AF$5,Tabel1[[#All],[Type]],Skemaer!$K$16)</f>
        <v>23.01</v>
      </c>
      <c r="AG6" s="53">
        <f>SUMIFS(Tabel1[[#All],[Distance]],Tabel1[[#All],[Uge]],AG$5,Tabel1[[#All],[Type]],Skemaer!$K$16)</f>
        <v>21.75</v>
      </c>
      <c r="AH6" s="53">
        <f>SUMIFS(Tabel1[[#All],[Distance]],Tabel1[[#All],[Uge]],AH$5,Tabel1[[#All],[Type]],Skemaer!$K$16)</f>
        <v>29.47</v>
      </c>
      <c r="AI6" s="53">
        <f>SUMIFS(Tabel1[[#All],[Distance]],Tabel1[[#All],[Uge]],AI$5,Tabel1[[#All],[Type]],Skemaer!$K$16)</f>
        <v>20.56</v>
      </c>
      <c r="AJ6" s="53">
        <f>SUMIFS(Tabel1[[#All],[Distance]],Tabel1[[#All],[Uge]],AJ$5,Tabel1[[#All],[Type]],Skemaer!$K$16)</f>
        <v>24.3</v>
      </c>
      <c r="AK6" s="53">
        <f>SUMIFS(Tabel1[[#All],[Distance]],Tabel1[[#All],[Uge]],AK$5,Tabel1[[#All],[Type]],Skemaer!$K$16)</f>
        <v>0</v>
      </c>
      <c r="AL6" s="53">
        <f>SUMIFS(Tabel1[[#All],[Distance]],Tabel1[[#All],[Uge]],AL$5,Tabel1[[#All],[Type]],Skemaer!$K$16)</f>
        <v>0</v>
      </c>
      <c r="AM6" s="53">
        <f>SUMIFS(Tabel1[[#All],[Distance]],Tabel1[[#All],[Uge]],AM$5,Tabel1[[#All],[Type]],Skemaer!$K$16)</f>
        <v>9.27</v>
      </c>
      <c r="AN6" s="53">
        <f>SUMIFS(Tabel1[[#All],[Distance]],Tabel1[[#All],[Uge]],AN$5,Tabel1[[#All],[Type]],Skemaer!$K$16)</f>
        <v>0</v>
      </c>
      <c r="AO6" s="53">
        <f>SUMIFS(Tabel1[[#All],[Distance]],Tabel1[[#All],[Uge]],AO$5,Tabel1[[#All],[Type]],Skemaer!$K$16)</f>
        <v>0</v>
      </c>
      <c r="AP6" s="53">
        <f>SUMIFS(Tabel1[[#All],[Distance]],Tabel1[[#All],[Uge]],AP$5,Tabel1[[#All],[Type]],Skemaer!$K$16)</f>
        <v>0</v>
      </c>
      <c r="AQ6" s="53">
        <f>SUMIFS(Tabel1[[#All],[Distance]],Tabel1[[#All],[Uge]],AQ$5,Tabel1[[#All],[Type]],Skemaer!$K$16)</f>
        <v>0</v>
      </c>
      <c r="AR6" s="53">
        <f>SUMIFS(Tabel1[[#All],[Distance]],Tabel1[[#All],[Uge]],AR$5,Tabel1[[#All],[Type]],Skemaer!$K$16)</f>
        <v>0</v>
      </c>
      <c r="AS6" s="53">
        <f>SUMIFS(Tabel1[[#All],[Distance]],Tabel1[[#All],[Uge]],AS$5,Tabel1[[#All],[Type]],Skemaer!$K$16)</f>
        <v>0</v>
      </c>
      <c r="AT6" s="53">
        <f>SUMIFS(Tabel1[[#All],[Distance]],Tabel1[[#All],[Uge]],AT$5,Tabel1[[#All],[Type]],Skemaer!$K$16)</f>
        <v>0</v>
      </c>
      <c r="AU6" s="53">
        <f>SUMIFS(Tabel1[[#All],[Distance]],Tabel1[[#All],[Uge]],AU$5,Tabel1[[#All],[Type]],Skemaer!$K$16)</f>
        <v>0</v>
      </c>
      <c r="AV6" s="53">
        <f>SUMIFS(Tabel1[[#All],[Distance]],Tabel1[[#All],[Uge]],AV$5,Tabel1[[#All],[Type]],Skemaer!$K$16)</f>
        <v>0</v>
      </c>
      <c r="AW6" s="53">
        <f>SUMIFS(Tabel1[[#All],[Distance]],Tabel1[[#All],[Uge]],AW$5,Tabel1[[#All],[Type]],Skemaer!$K$16)</f>
        <v>0</v>
      </c>
      <c r="AX6" s="53">
        <f>SUMIFS(Tabel1[[#All],[Distance]],Tabel1[[#All],[Uge]],AX$5,Tabel1[[#All],[Type]],Skemaer!$K$16)</f>
        <v>0</v>
      </c>
      <c r="AY6" s="53">
        <f>SUMIFS(Tabel1[[#All],[Distance]],Tabel1[[#All],[Uge]],AY$5,Tabel1[[#All],[Type]],Skemaer!$K$16)</f>
        <v>0</v>
      </c>
      <c r="AZ6" s="53">
        <f>SUMIFS(Tabel1[[#All],[Distance]],Tabel1[[#All],[Uge]],AZ$5,Tabel1[[#All],[Type]],Skemaer!$K$16)</f>
        <v>0</v>
      </c>
      <c r="BA6" s="53">
        <f>SUMIFS(Tabel1[[#All],[Distance]],Tabel1[[#All],[Uge]],BA$5,Tabel1[[#All],[Type]],Skemaer!$K$16)</f>
        <v>0</v>
      </c>
      <c r="BB6" s="53">
        <f>SUMIFS(Tabel1[[#All],[Distance]],Tabel1[[#All],[Uge]],BB$5,Tabel1[[#All],[Type]],Skemaer!$K$16)</f>
        <v>0</v>
      </c>
      <c r="BC6" s="53">
        <f>SUMIFS(Tabel1[[#All],[Distance]],Tabel1[[#All],[Uge]],BC$5,Tabel1[[#All],[Type]],Skemaer!$K$16)</f>
        <v>0</v>
      </c>
      <c r="BD6" s="53">
        <f>SUMIFS(Tabel1[[#All],[Distance]],Tabel1[[#All],[Uge]],BD$5,Tabel1[[#All],[Type]],Skemaer!$K$16)</f>
        <v>0</v>
      </c>
      <c r="BE6" s="53">
        <f>SUMIFS(Tabel1[[#All],[Distance]],Tabel1[[#All],[Uge]],BE$5,Tabel1[[#All],[Type]],Skemaer!$K$16)</f>
        <v>0</v>
      </c>
      <c r="BF6" s="53">
        <f>SUMIFS(Tabel1[[#All],[Distance]],Tabel1[[#All],[Uge]],BF$5,Tabel1[[#All],[Type]],Skemaer!$K$16)</f>
        <v>0</v>
      </c>
      <c r="BG6" s="53">
        <f>SUMIFS(Tabel1[[#All],[Distance]],Tabel1[[#All],[Uge]],BG$5,Tabel1[[#All],[Type]],Skemaer!$K$16)</f>
        <v>0</v>
      </c>
      <c r="BH6" s="53">
        <f>SUMIFS(Tabel1[[#All],[Distance]],Tabel1[[#All],[Uge]],BH$5,Tabel1[[#All],[Type]],Skemaer!$K$16)</f>
        <v>0</v>
      </c>
      <c r="BI6" s="53">
        <f>SUMIFS(Tabel1[[#All],[Distance]],Tabel1[[#All],[Uge]],BI$5,Tabel1[[#All],[Type]],Skemaer!$K$16)</f>
        <v>0</v>
      </c>
      <c r="BJ6" s="53">
        <f>SUMIFS(Tabel1[[#All],[Distance]],Tabel1[[#All],[Uge]],BJ$5,Tabel1[[#All],[Type]],Skemaer!$K$16)</f>
        <v>0</v>
      </c>
      <c r="BK6" s="53">
        <f>SUMIFS(Tabel1[[#All],[Distance]],Tabel1[[#All],[Uge]],BK$5,Tabel1[[#All],[Type]],Skemaer!$K$16)</f>
        <v>0</v>
      </c>
      <c r="BL6" s="53">
        <f>SUMIFS(Tabel1[[#All],[Distance]],Tabel1[[#All],[Uge]],BL$5,Tabel1[[#All],[Type]],Skemaer!$K$16)</f>
        <v>0</v>
      </c>
      <c r="BM6" s="53">
        <f>SUMIFS(Tabel1[[#All],[Distance]],Tabel1[[#All],[Uge]],BM$5,Tabel1[[#All],[Type]],Skemaer!$K$16)</f>
        <v>0</v>
      </c>
      <c r="BN6" s="53">
        <f>SUMIFS(Tabel1[[#All],[Distance]],Tabel1[[#All],[Uge]],BN$5,Tabel1[[#All],[Type]],Skemaer!$K$16)</f>
        <v>0</v>
      </c>
      <c r="BO6" s="53">
        <f>SUMIFS(Tabel1[[#All],[Distance]],Tabel1[[#All],[Uge]],BO$5,Tabel1[[#All],[Type]],Skemaer!$K$16)</f>
        <v>0</v>
      </c>
      <c r="BP6" s="53">
        <f>SUMIFS(Tabel1[[#All],[Distance]],Tabel1[[#All],[Uge]],BP$5,Tabel1[[#All],[Type]],Skemaer!$K$16)</f>
        <v>0</v>
      </c>
      <c r="BQ6" s="53">
        <f>SUMIFS(Tabel1[[#All],[Distance]],Tabel1[[#All],[Uge]],BQ$5,Tabel1[[#All],[Type]],Skemaer!$K$16)</f>
        <v>0</v>
      </c>
      <c r="BR6" s="53">
        <f>SUMIFS(Tabel1[[#All],[Distance]],Tabel1[[#All],[Uge]],BR$5,Tabel1[[#All],[Type]],Skemaer!$K$16)</f>
        <v>0</v>
      </c>
    </row>
    <row r="7" spans="1:71" x14ac:dyDescent="0.3">
      <c r="A7" t="s">
        <v>17</v>
      </c>
      <c r="B7">
        <v>2</v>
      </c>
      <c r="C7" s="2">
        <f>SUMIF(Tabel1[[#All],[Mdr.]],B7,Tabel1[[#All],[Distance]])</f>
        <v>232.7</v>
      </c>
      <c r="D7" s="35">
        <f>SUMIFS(Tabel1[[#All],[Distance]],Tabel1[[#All],[Mdr.]],$B7,Tabel1[[#All],[Type]],Skemaer!$K$16)</f>
        <v>69.349999999999994</v>
      </c>
      <c r="E7" s="35">
        <f>SUMIFS(Tabel1[[#All],[Distance]],Tabel1[[#All],[Mdr.]],$B7,Tabel1[[#All],[Type]],Skemaer!$K$17)</f>
        <v>0</v>
      </c>
      <c r="F7" s="35">
        <f>SUMIFS(Tabel1[[#All],[Distance]],Tabel1[[#All],[Mdr.]],$B7,Tabel1[[#All],[Type]],Skemaer!$K$18)</f>
        <v>20.740000000000002</v>
      </c>
      <c r="G7" s="35">
        <f>SUMIFS(Tabel1[[#All],[Distance]],Tabel1[[#All],[Mdr.]],$B7,Tabel1[[#All],[Type]],Skemaer!$K$19)</f>
        <v>0</v>
      </c>
      <c r="H7" s="35">
        <f>SUMIFS(Tabel1[[#All],[Distance]],Tabel1[[#All],[Mdr.]],$B7,Tabel1[[#All],[Type]],Skemaer!$K$20)</f>
        <v>142.61000000000001</v>
      </c>
      <c r="J7" t="s">
        <v>103</v>
      </c>
      <c r="K7" t="s">
        <v>35</v>
      </c>
      <c r="L7" s="2">
        <v>451.63</v>
      </c>
      <c r="M7" s="2">
        <f>SUMIF(Tabel1[Sko],J7,Tabel1[Distance])</f>
        <v>0</v>
      </c>
      <c r="N7" s="2">
        <f t="shared" si="0"/>
        <v>451.63</v>
      </c>
      <c r="P7" s="54" t="str">
        <f>Skemaer!$K$17</f>
        <v>I</v>
      </c>
      <c r="Q7" s="52">
        <f t="shared" si="1"/>
        <v>5.16</v>
      </c>
      <c r="R7" s="53">
        <f>SUMIFS(Tabel1[[#All],[Distance]],Tabel1[[#All],[Uge]],R$5,Tabel1[[#All],[Type]],Skemaer!$K$17)</f>
        <v>0</v>
      </c>
      <c r="S7" s="53">
        <f>SUMIFS(Tabel1[[#All],[Distance]],Tabel1[[#All],[Uge]],S$5,Tabel1[[#All],[Type]],Skemaer!$K$17)</f>
        <v>0</v>
      </c>
      <c r="T7" s="53">
        <f>SUMIFS(Tabel1[[#All],[Distance]],Tabel1[[#All],[Uge]],T$5,Tabel1[[#All],[Type]],Skemaer!$K$17)</f>
        <v>0</v>
      </c>
      <c r="U7" s="53">
        <f>SUMIFS(Tabel1[[#All],[Distance]],Tabel1[[#All],[Uge]],U$5,Tabel1[[#All],[Type]],Skemaer!$K$17)</f>
        <v>0</v>
      </c>
      <c r="V7" s="53">
        <f>SUMIFS(Tabel1[[#All],[Distance]],Tabel1[[#All],[Uge]],V$5,Tabel1[[#All],[Type]],Skemaer!$K$17)</f>
        <v>0</v>
      </c>
      <c r="W7" s="53">
        <f>SUMIFS(Tabel1[[#All],[Distance]],Tabel1[[#All],[Uge]],W$5,Tabel1[[#All],[Type]],Skemaer!$K$17)</f>
        <v>0</v>
      </c>
      <c r="X7" s="53">
        <f>SUMIFS(Tabel1[[#All],[Distance]],Tabel1[[#All],[Uge]],X$5,Tabel1[[#All],[Type]],Skemaer!$K$17)</f>
        <v>0</v>
      </c>
      <c r="Y7" s="53">
        <f>SUMIFS(Tabel1[[#All],[Distance]],Tabel1[[#All],[Uge]],Y$5,Tabel1[[#All],[Type]],Skemaer!$K$17)</f>
        <v>0</v>
      </c>
      <c r="Z7" s="53">
        <f>SUMIFS(Tabel1[[#All],[Distance]],Tabel1[[#All],[Uge]],Z$5,Tabel1[[#All],[Type]],Skemaer!$K$17)</f>
        <v>0</v>
      </c>
      <c r="AA7" s="53">
        <f>SUMIFS(Tabel1[[#All],[Distance]],Tabel1[[#All],[Uge]],AA$5,Tabel1[[#All],[Type]],Skemaer!$K$17)</f>
        <v>0</v>
      </c>
      <c r="AB7" s="53">
        <f>SUMIFS(Tabel1[[#All],[Distance]],Tabel1[[#All],[Uge]],AB$5,Tabel1[[#All],[Type]],Skemaer!$K$17)</f>
        <v>0</v>
      </c>
      <c r="AC7" s="53">
        <f>SUMIFS(Tabel1[[#All],[Distance]],Tabel1[[#All],[Uge]],AC$5,Tabel1[[#All],[Type]],Skemaer!$K$17)</f>
        <v>0</v>
      </c>
      <c r="AD7" s="53">
        <f>SUMIFS(Tabel1[[#All],[Distance]],Tabel1[[#All],[Uge]],AD$5,Tabel1[[#All],[Type]],Skemaer!$K$17)</f>
        <v>0</v>
      </c>
      <c r="AE7" s="53">
        <f>SUMIFS(Tabel1[[#All],[Distance]],Tabel1[[#All],[Uge]],AE$5,Tabel1[[#All],[Type]],Skemaer!$K$17)</f>
        <v>0</v>
      </c>
      <c r="AF7" s="53">
        <f>SUMIFS(Tabel1[[#All],[Distance]],Tabel1[[#All],[Uge]],AF$5,Tabel1[[#All],[Type]],Skemaer!$K$17)</f>
        <v>0</v>
      </c>
      <c r="AG7" s="53">
        <f>SUMIFS(Tabel1[[#All],[Distance]],Tabel1[[#All],[Uge]],AG$5,Tabel1[[#All],[Type]],Skemaer!$K$17)</f>
        <v>0</v>
      </c>
      <c r="AH7" s="53">
        <f>SUMIFS(Tabel1[[#All],[Distance]],Tabel1[[#All],[Uge]],AH$5,Tabel1[[#All],[Type]],Skemaer!$K$17)</f>
        <v>0</v>
      </c>
      <c r="AI7" s="53">
        <f>SUMIFS(Tabel1[[#All],[Distance]],Tabel1[[#All],[Uge]],AI$5,Tabel1[[#All],[Type]],Skemaer!$K$17)</f>
        <v>0</v>
      </c>
      <c r="AJ7" s="53">
        <f>SUMIFS(Tabel1[[#All],[Distance]],Tabel1[[#All],[Uge]],AJ$5,Tabel1[[#All],[Type]],Skemaer!$K$17)</f>
        <v>0</v>
      </c>
      <c r="AK7" s="53">
        <f>SUMIFS(Tabel1[[#All],[Distance]],Tabel1[[#All],[Uge]],AK$5,Tabel1[[#All],[Type]],Skemaer!$K$17)</f>
        <v>0</v>
      </c>
      <c r="AL7" s="53">
        <f>SUMIFS(Tabel1[[#All],[Distance]],Tabel1[[#All],[Uge]],AL$5,Tabel1[[#All],[Type]],Skemaer!$K$17)</f>
        <v>0</v>
      </c>
      <c r="AM7" s="53">
        <f>SUMIFS(Tabel1[[#All],[Distance]],Tabel1[[#All],[Uge]],AM$5,Tabel1[[#All],[Type]],Skemaer!$K$17)</f>
        <v>0</v>
      </c>
      <c r="AN7" s="53">
        <f>SUMIFS(Tabel1[[#All],[Distance]],Tabel1[[#All],[Uge]],AN$5,Tabel1[[#All],[Type]],Skemaer!$K$17)</f>
        <v>0</v>
      </c>
      <c r="AO7" s="53">
        <f>SUMIFS(Tabel1[[#All],[Distance]],Tabel1[[#All],[Uge]],AO$5,Tabel1[[#All],[Type]],Skemaer!$K$17)</f>
        <v>0</v>
      </c>
      <c r="AP7" s="53">
        <f>SUMIFS(Tabel1[[#All],[Distance]],Tabel1[[#All],[Uge]],AP$5,Tabel1[[#All],[Type]],Skemaer!$K$17)</f>
        <v>0</v>
      </c>
      <c r="AQ7" s="53">
        <f>SUMIFS(Tabel1[[#All],[Distance]],Tabel1[[#All],[Uge]],AQ$5,Tabel1[[#All],[Type]],Skemaer!$K$17)</f>
        <v>0</v>
      </c>
      <c r="AR7" s="53">
        <f>SUMIFS(Tabel1[[#All],[Distance]],Tabel1[[#All],[Uge]],AR$5,Tabel1[[#All],[Type]],Skemaer!$K$17)</f>
        <v>0</v>
      </c>
      <c r="AS7" s="53">
        <f>SUMIFS(Tabel1[[#All],[Distance]],Tabel1[[#All],[Uge]],AS$5,Tabel1[[#All],[Type]],Skemaer!$K$17)</f>
        <v>5.16</v>
      </c>
      <c r="AT7" s="53">
        <f>SUMIFS(Tabel1[[#All],[Distance]],Tabel1[[#All],[Uge]],AT$5,Tabel1[[#All],[Type]],Skemaer!$K$17)</f>
        <v>0</v>
      </c>
      <c r="AU7" s="53">
        <f>SUMIFS(Tabel1[[#All],[Distance]],Tabel1[[#All],[Uge]],AU$5,Tabel1[[#All],[Type]],Skemaer!$K$17)</f>
        <v>0</v>
      </c>
      <c r="AV7" s="53">
        <f>SUMIFS(Tabel1[[#All],[Distance]],Tabel1[[#All],[Uge]],AV$5,Tabel1[[#All],[Type]],Skemaer!$K$17)</f>
        <v>0</v>
      </c>
      <c r="AW7" s="53">
        <f>SUMIFS(Tabel1[[#All],[Distance]],Tabel1[[#All],[Uge]],AW$5,Tabel1[[#All],[Type]],Skemaer!$K$17)</f>
        <v>0</v>
      </c>
      <c r="AX7" s="53">
        <f>SUMIFS(Tabel1[[#All],[Distance]],Tabel1[[#All],[Uge]],AX$5,Tabel1[[#All],[Type]],Skemaer!$K$17)</f>
        <v>0</v>
      </c>
      <c r="AY7" s="53">
        <f>SUMIFS(Tabel1[[#All],[Distance]],Tabel1[[#All],[Uge]],AY$5,Tabel1[[#All],[Type]],Skemaer!$K$17)</f>
        <v>0</v>
      </c>
      <c r="AZ7" s="53">
        <f>SUMIFS(Tabel1[[#All],[Distance]],Tabel1[[#All],[Uge]],AZ$5,Tabel1[[#All],[Type]],Skemaer!$K$17)</f>
        <v>0</v>
      </c>
      <c r="BA7" s="53">
        <f>SUMIFS(Tabel1[[#All],[Distance]],Tabel1[[#All],[Uge]],BA$5,Tabel1[[#All],[Type]],Skemaer!$K$17)</f>
        <v>0</v>
      </c>
      <c r="BB7" s="53">
        <f>SUMIFS(Tabel1[[#All],[Distance]],Tabel1[[#All],[Uge]],BB$5,Tabel1[[#All],[Type]],Skemaer!$K$17)</f>
        <v>0</v>
      </c>
      <c r="BC7" s="53">
        <f>SUMIFS(Tabel1[[#All],[Distance]],Tabel1[[#All],[Uge]],BC$5,Tabel1[[#All],[Type]],Skemaer!$K$17)</f>
        <v>0</v>
      </c>
      <c r="BD7" s="53">
        <f>SUMIFS(Tabel1[[#All],[Distance]],Tabel1[[#All],[Uge]],BD$5,Tabel1[[#All],[Type]],Skemaer!$K$17)</f>
        <v>0</v>
      </c>
      <c r="BE7" s="53">
        <f>SUMIFS(Tabel1[[#All],[Distance]],Tabel1[[#All],[Uge]],BE$5,Tabel1[[#All],[Type]],Skemaer!$K$17)</f>
        <v>0</v>
      </c>
      <c r="BF7" s="53">
        <f>SUMIFS(Tabel1[[#All],[Distance]],Tabel1[[#All],[Uge]],BF$5,Tabel1[[#All],[Type]],Skemaer!$K$17)</f>
        <v>0</v>
      </c>
      <c r="BG7" s="53">
        <f>SUMIFS(Tabel1[[#All],[Distance]],Tabel1[[#All],[Uge]],BG$5,Tabel1[[#All],[Type]],Skemaer!$K$17)</f>
        <v>0</v>
      </c>
      <c r="BH7" s="53">
        <f>SUMIFS(Tabel1[[#All],[Distance]],Tabel1[[#All],[Uge]],BH$5,Tabel1[[#All],[Type]],Skemaer!$K$17)</f>
        <v>0</v>
      </c>
      <c r="BI7" s="53">
        <f>SUMIFS(Tabel1[[#All],[Distance]],Tabel1[[#All],[Uge]],BI$5,Tabel1[[#All],[Type]],Skemaer!$K$17)</f>
        <v>0</v>
      </c>
      <c r="BJ7" s="53">
        <f>SUMIFS(Tabel1[[#All],[Distance]],Tabel1[[#All],[Uge]],BJ$5,Tabel1[[#All],[Type]],Skemaer!$K$17)</f>
        <v>0</v>
      </c>
      <c r="BK7" s="53">
        <f>SUMIFS(Tabel1[[#All],[Distance]],Tabel1[[#All],[Uge]],BK$5,Tabel1[[#All],[Type]],Skemaer!$K$17)</f>
        <v>0</v>
      </c>
      <c r="BL7" s="53">
        <f>SUMIFS(Tabel1[[#All],[Distance]],Tabel1[[#All],[Uge]],BL$5,Tabel1[[#All],[Type]],Skemaer!$K$17)</f>
        <v>0</v>
      </c>
      <c r="BM7" s="53">
        <f>SUMIFS(Tabel1[[#All],[Distance]],Tabel1[[#All],[Uge]],BM$5,Tabel1[[#All],[Type]],Skemaer!$K$17)</f>
        <v>0</v>
      </c>
      <c r="BN7" s="53">
        <f>SUMIFS(Tabel1[[#All],[Distance]],Tabel1[[#All],[Uge]],BN$5,Tabel1[[#All],[Type]],Skemaer!$K$17)</f>
        <v>0</v>
      </c>
      <c r="BO7" s="53">
        <f>SUMIFS(Tabel1[[#All],[Distance]],Tabel1[[#All],[Uge]],BO$5,Tabel1[[#All],[Type]],Skemaer!$K$17)</f>
        <v>0</v>
      </c>
      <c r="BP7" s="53">
        <f>SUMIFS(Tabel1[[#All],[Distance]],Tabel1[[#All],[Uge]],BP$5,Tabel1[[#All],[Type]],Skemaer!$K$17)</f>
        <v>0</v>
      </c>
      <c r="BQ7" s="53">
        <f>SUMIFS(Tabel1[[#All],[Distance]],Tabel1[[#All],[Uge]],BQ$5,Tabel1[[#All],[Type]],Skemaer!$K$17)</f>
        <v>0</v>
      </c>
      <c r="BR7" s="53">
        <f>SUMIFS(Tabel1[[#All],[Distance]],Tabel1[[#All],[Uge]],BR$5,Tabel1[[#All],[Type]],Skemaer!$K$17)</f>
        <v>0</v>
      </c>
    </row>
    <row r="8" spans="1:71" x14ac:dyDescent="0.3">
      <c r="A8" t="s">
        <v>18</v>
      </c>
      <c r="B8">
        <v>3</v>
      </c>
      <c r="C8" s="2">
        <f>SUMIF(Tabel1[[#All],[Mdr.]],B8,Tabel1[[#All],[Distance]])</f>
        <v>167.01</v>
      </c>
      <c r="D8" s="35">
        <f>SUMIFS(Tabel1[[#All],[Distance]],Tabel1[[#All],[Mdr.]],$B8,Tabel1[[#All],[Type]],Skemaer!$K$16)</f>
        <v>82.44</v>
      </c>
      <c r="E8" s="35">
        <f>SUMIFS(Tabel1[[#All],[Distance]],Tabel1[[#All],[Mdr.]],$B8,Tabel1[[#All],[Type]],Skemaer!$K$17)</f>
        <v>0</v>
      </c>
      <c r="F8" s="35">
        <f>SUMIFS(Tabel1[[#All],[Distance]],Tabel1[[#All],[Mdr.]],$B8,Tabel1[[#All],[Type]],Skemaer!$K$18)</f>
        <v>0</v>
      </c>
      <c r="G8" s="35">
        <f>SUMIFS(Tabel1[[#All],[Distance]],Tabel1[[#All],[Mdr.]],$B8,Tabel1[[#All],[Type]],Skemaer!$K$19)</f>
        <v>0</v>
      </c>
      <c r="H8" s="35">
        <f>SUMIFS(Tabel1[[#All],[Distance]],Tabel1[[#All],[Mdr.]],$B8,Tabel1[[#All],[Type]],Skemaer!$K$20)</f>
        <v>84.57</v>
      </c>
      <c r="J8" t="s">
        <v>44</v>
      </c>
      <c r="K8" t="s">
        <v>45</v>
      </c>
      <c r="L8" s="2">
        <v>161.16999999999999</v>
      </c>
      <c r="M8" s="2">
        <f>SUMIF(Tabel1[Sko],J8,Tabel1[Distance])</f>
        <v>0</v>
      </c>
      <c r="N8" s="2">
        <f t="shared" si="0"/>
        <v>161.16999999999999</v>
      </c>
      <c r="P8" s="54" t="str">
        <f>Skemaer!$K$18</f>
        <v>R</v>
      </c>
      <c r="Q8" s="52">
        <f t="shared" si="1"/>
        <v>249.81999999999996</v>
      </c>
      <c r="R8" s="53">
        <f>SUMIFS(Tabel1[[#All],[Distance]],Tabel1[[#All],[Uge]],R$5,Tabel1[[#All],[Type]],Skemaer!$K$18)</f>
        <v>0</v>
      </c>
      <c r="S8" s="53">
        <f>SUMIFS(Tabel1[[#All],[Distance]],Tabel1[[#All],[Uge]],S$5,Tabel1[[#All],[Type]],Skemaer!$K$18)</f>
        <v>20.28</v>
      </c>
      <c r="T8" s="53">
        <f>SUMIFS(Tabel1[[#All],[Distance]],Tabel1[[#All],[Uge]],T$5,Tabel1[[#All],[Type]],Skemaer!$K$18)</f>
        <v>10.25</v>
      </c>
      <c r="U8" s="53">
        <f>SUMIFS(Tabel1[[#All],[Distance]],Tabel1[[#All],[Uge]],U$5,Tabel1[[#All],[Type]],Skemaer!$K$18)</f>
        <v>0</v>
      </c>
      <c r="V8" s="53">
        <f>SUMIFS(Tabel1[[#All],[Distance]],Tabel1[[#All],[Uge]],V$5,Tabel1[[#All],[Type]],Skemaer!$K$18)</f>
        <v>20.700000000000003</v>
      </c>
      <c r="W8" s="53">
        <f>SUMIFS(Tabel1[[#All],[Distance]],Tabel1[[#All],[Uge]],W$5,Tabel1[[#All],[Type]],Skemaer!$K$18)</f>
        <v>11.01</v>
      </c>
      <c r="X8" s="53">
        <f>SUMIFS(Tabel1[[#All],[Distance]],Tabel1[[#All],[Uge]],X$5,Tabel1[[#All],[Type]],Skemaer!$K$18)</f>
        <v>10.39</v>
      </c>
      <c r="Y8" s="53">
        <f>SUMIFS(Tabel1[[#All],[Distance]],Tabel1[[#All],[Uge]],Y$5,Tabel1[[#All],[Type]],Skemaer!$K$18)</f>
        <v>0</v>
      </c>
      <c r="Z8" s="53">
        <f>SUMIFS(Tabel1[[#All],[Distance]],Tabel1[[#All],[Uge]],Z$5,Tabel1[[#All],[Type]],Skemaer!$K$18)</f>
        <v>10.35</v>
      </c>
      <c r="AA8" s="53">
        <f>SUMIFS(Tabel1[[#All],[Distance]],Tabel1[[#All],[Uge]],AA$5,Tabel1[[#All],[Type]],Skemaer!$K$18)</f>
        <v>0</v>
      </c>
      <c r="AB8" s="53">
        <f>SUMIFS(Tabel1[[#All],[Distance]],Tabel1[[#All],[Uge]],AB$5,Tabel1[[#All],[Type]],Skemaer!$K$18)</f>
        <v>0</v>
      </c>
      <c r="AC8" s="53">
        <f>SUMIFS(Tabel1[[#All],[Distance]],Tabel1[[#All],[Uge]],AC$5,Tabel1[[#All],[Type]],Skemaer!$K$18)</f>
        <v>0</v>
      </c>
      <c r="AD8" s="53">
        <f>SUMIFS(Tabel1[[#All],[Distance]],Tabel1[[#All],[Uge]],AD$5,Tabel1[[#All],[Type]],Skemaer!$K$18)</f>
        <v>0</v>
      </c>
      <c r="AE8" s="53">
        <f>SUMIFS(Tabel1[[#All],[Distance]],Tabel1[[#All],[Uge]],AE$5,Tabel1[[#All],[Type]],Skemaer!$K$18)</f>
        <v>0</v>
      </c>
      <c r="AF8" s="53">
        <f>SUMIFS(Tabel1[[#All],[Distance]],Tabel1[[#All],[Uge]],AF$5,Tabel1[[#All],[Type]],Skemaer!$K$18)</f>
        <v>0</v>
      </c>
      <c r="AG8" s="53">
        <f>SUMIFS(Tabel1[[#All],[Distance]],Tabel1[[#All],[Uge]],AG$5,Tabel1[[#All],[Type]],Skemaer!$K$18)</f>
        <v>0</v>
      </c>
      <c r="AH8" s="53">
        <f>SUMIFS(Tabel1[[#All],[Distance]],Tabel1[[#All],[Uge]],AH$5,Tabel1[[#All],[Type]],Skemaer!$K$18)</f>
        <v>8.94</v>
      </c>
      <c r="AI8" s="53">
        <f>SUMIFS(Tabel1[[#All],[Distance]],Tabel1[[#All],[Uge]],AI$5,Tabel1[[#All],[Type]],Skemaer!$K$18)</f>
        <v>0</v>
      </c>
      <c r="AJ8" s="53">
        <f>SUMIFS(Tabel1[[#All],[Distance]],Tabel1[[#All],[Uge]],AJ$5,Tabel1[[#All],[Type]],Skemaer!$K$18)</f>
        <v>0</v>
      </c>
      <c r="AK8" s="53">
        <f>SUMIFS(Tabel1[[#All],[Distance]],Tabel1[[#All],[Uge]],AK$5,Tabel1[[#All],[Type]],Skemaer!$K$18)</f>
        <v>35.86</v>
      </c>
      <c r="AL8" s="53">
        <f>SUMIFS(Tabel1[[#All],[Distance]],Tabel1[[#All],[Uge]],AL$5,Tabel1[[#All],[Type]],Skemaer!$K$18)</f>
        <v>6.3</v>
      </c>
      <c r="AM8" s="53">
        <f>SUMIFS(Tabel1[[#All],[Distance]],Tabel1[[#All],[Uge]],AM$5,Tabel1[[#All],[Type]],Skemaer!$K$18)</f>
        <v>0</v>
      </c>
      <c r="AN8" s="53">
        <f>SUMIFS(Tabel1[[#All],[Distance]],Tabel1[[#All],[Uge]],AN$5,Tabel1[[#All],[Type]],Skemaer!$K$18)</f>
        <v>10.130000000000001</v>
      </c>
      <c r="AO8" s="53">
        <f>SUMIFS(Tabel1[[#All],[Distance]],Tabel1[[#All],[Uge]],AO$5,Tabel1[[#All],[Type]],Skemaer!$K$18)</f>
        <v>5.54</v>
      </c>
      <c r="AP8" s="53">
        <f>SUMIFS(Tabel1[[#All],[Distance]],Tabel1[[#All],[Uge]],AP$5,Tabel1[[#All],[Type]],Skemaer!$K$18)</f>
        <v>5.19</v>
      </c>
      <c r="AQ8" s="53">
        <f>SUMIFS(Tabel1[[#All],[Distance]],Tabel1[[#All],[Uge]],AQ$5,Tabel1[[#All],[Type]],Skemaer!$K$18)</f>
        <v>0</v>
      </c>
      <c r="AR8" s="53">
        <f>SUMIFS(Tabel1[[#All],[Distance]],Tabel1[[#All],[Uge]],AR$5,Tabel1[[#All],[Type]],Skemaer!$K$18)</f>
        <v>13.57</v>
      </c>
      <c r="AS8" s="53">
        <f>SUMIFS(Tabel1[[#All],[Distance]],Tabel1[[#All],[Uge]],AS$5,Tabel1[[#All],[Type]],Skemaer!$K$18)</f>
        <v>0</v>
      </c>
      <c r="AT8" s="53">
        <f>SUMIFS(Tabel1[[#All],[Distance]],Tabel1[[#All],[Uge]],AT$5,Tabel1[[#All],[Type]],Skemaer!$K$18)</f>
        <v>7.01</v>
      </c>
      <c r="AU8" s="53">
        <f>SUMIFS(Tabel1[[#All],[Distance]],Tabel1[[#All],[Uge]],AU$5,Tabel1[[#All],[Type]],Skemaer!$K$18)</f>
        <v>5.22</v>
      </c>
      <c r="AV8" s="53">
        <f>SUMIFS(Tabel1[[#All],[Distance]],Tabel1[[#All],[Uge]],AV$5,Tabel1[[#All],[Type]],Skemaer!$K$18)</f>
        <v>0</v>
      </c>
      <c r="AW8" s="53">
        <f>SUMIFS(Tabel1[[#All],[Distance]],Tabel1[[#All],[Uge]],AW$5,Tabel1[[#All],[Type]],Skemaer!$K$18)</f>
        <v>30.13</v>
      </c>
      <c r="AX8" s="53">
        <f>SUMIFS(Tabel1[[#All],[Distance]],Tabel1[[#All],[Uge]],AX$5,Tabel1[[#All],[Type]],Skemaer!$K$18)</f>
        <v>0</v>
      </c>
      <c r="AY8" s="53">
        <f>SUMIFS(Tabel1[[#All],[Distance]],Tabel1[[#All],[Uge]],AY$5,Tabel1[[#All],[Type]],Skemaer!$K$18)</f>
        <v>19.919999999999998</v>
      </c>
      <c r="AZ8" s="53">
        <f>SUMIFS(Tabel1[[#All],[Distance]],Tabel1[[#All],[Uge]],AZ$5,Tabel1[[#All],[Type]],Skemaer!$K$18)</f>
        <v>0</v>
      </c>
      <c r="BA8" s="53">
        <f>SUMIFS(Tabel1[[#All],[Distance]],Tabel1[[#All],[Uge]],BA$5,Tabel1[[#All],[Type]],Skemaer!$K$18)</f>
        <v>0</v>
      </c>
      <c r="BB8" s="53">
        <f>SUMIFS(Tabel1[[#All],[Distance]],Tabel1[[#All],[Uge]],BB$5,Tabel1[[#All],[Type]],Skemaer!$K$18)</f>
        <v>8.4600000000000009</v>
      </c>
      <c r="BC8" s="53">
        <f>SUMIFS(Tabel1[[#All],[Distance]],Tabel1[[#All],[Uge]],BC$5,Tabel1[[#All],[Type]],Skemaer!$K$18)</f>
        <v>4.08</v>
      </c>
      <c r="BD8" s="53">
        <f>SUMIFS(Tabel1[[#All],[Distance]],Tabel1[[#All],[Uge]],BD$5,Tabel1[[#All],[Type]],Skemaer!$K$18)</f>
        <v>0</v>
      </c>
      <c r="BE8" s="53">
        <f>SUMIFS(Tabel1[[#All],[Distance]],Tabel1[[#All],[Uge]],BE$5,Tabel1[[#All],[Type]],Skemaer!$K$18)</f>
        <v>6.49</v>
      </c>
      <c r="BF8" s="53">
        <f>SUMIFS(Tabel1[[#All],[Distance]],Tabel1[[#All],[Uge]],BF$5,Tabel1[[#All],[Type]],Skemaer!$K$18)</f>
        <v>0</v>
      </c>
      <c r="BG8" s="53">
        <f>SUMIFS(Tabel1[[#All],[Distance]],Tabel1[[#All],[Uge]],BG$5,Tabel1[[#All],[Type]],Skemaer!$K$18)</f>
        <v>0</v>
      </c>
      <c r="BH8" s="53">
        <f>SUMIFS(Tabel1[[#All],[Distance]],Tabel1[[#All],[Uge]],BH$5,Tabel1[[#All],[Type]],Skemaer!$K$18)</f>
        <v>0</v>
      </c>
      <c r="BI8" s="53">
        <f>SUMIFS(Tabel1[[#All],[Distance]],Tabel1[[#All],[Uge]],BI$5,Tabel1[[#All],[Type]],Skemaer!$K$18)</f>
        <v>0</v>
      </c>
      <c r="BJ8" s="53">
        <f>SUMIFS(Tabel1[[#All],[Distance]],Tabel1[[#All],[Uge]],BJ$5,Tabel1[[#All],[Type]],Skemaer!$K$18)</f>
        <v>0</v>
      </c>
      <c r="BK8" s="53">
        <f>SUMIFS(Tabel1[[#All],[Distance]],Tabel1[[#All],[Uge]],BK$5,Tabel1[[#All],[Type]],Skemaer!$K$18)</f>
        <v>0</v>
      </c>
      <c r="BL8" s="53">
        <f>SUMIFS(Tabel1[[#All],[Distance]],Tabel1[[#All],[Uge]],BL$5,Tabel1[[#All],[Type]],Skemaer!$K$18)</f>
        <v>0</v>
      </c>
      <c r="BM8" s="53">
        <f>SUMIFS(Tabel1[[#All],[Distance]],Tabel1[[#All],[Uge]],BM$5,Tabel1[[#All],[Type]],Skemaer!$K$18)</f>
        <v>0</v>
      </c>
      <c r="BN8" s="53">
        <f>SUMIFS(Tabel1[[#All],[Distance]],Tabel1[[#All],[Uge]],BN$5,Tabel1[[#All],[Type]],Skemaer!$K$18)</f>
        <v>0</v>
      </c>
      <c r="BO8" s="53">
        <f>SUMIFS(Tabel1[[#All],[Distance]],Tabel1[[#All],[Uge]],BO$5,Tabel1[[#All],[Type]],Skemaer!$K$18)</f>
        <v>0</v>
      </c>
      <c r="BP8" s="53">
        <f>SUMIFS(Tabel1[[#All],[Distance]],Tabel1[[#All],[Uge]],BP$5,Tabel1[[#All],[Type]],Skemaer!$K$18)</f>
        <v>0</v>
      </c>
      <c r="BQ8" s="53">
        <f>SUMIFS(Tabel1[[#All],[Distance]],Tabel1[[#All],[Uge]],BQ$5,Tabel1[[#All],[Type]],Skemaer!$K$18)</f>
        <v>0</v>
      </c>
      <c r="BR8" s="53">
        <f>SUMIFS(Tabel1[[#All],[Distance]],Tabel1[[#All],[Uge]],BR$5,Tabel1[[#All],[Type]],Skemaer!$K$18)</f>
        <v>0</v>
      </c>
    </row>
    <row r="9" spans="1:71" x14ac:dyDescent="0.3">
      <c r="A9" t="s">
        <v>19</v>
      </c>
      <c r="B9">
        <v>4</v>
      </c>
      <c r="C9" s="2">
        <f>SUMIF(Tabel1[[#All],[Mdr.]],B9,Tabel1[[#All],[Distance]])</f>
        <v>216.51</v>
      </c>
      <c r="D9" s="35">
        <f>SUMIFS(Tabel1[[#All],[Distance]],Tabel1[[#All],[Mdr.]],$B9,Tabel1[[#All],[Type]],Skemaer!$K$16)</f>
        <v>122.80000000000001</v>
      </c>
      <c r="E9" s="35">
        <f>SUMIFS(Tabel1[[#All],[Distance]],Tabel1[[#All],[Mdr.]],$B9,Tabel1[[#All],[Type]],Skemaer!$K$17)</f>
        <v>0</v>
      </c>
      <c r="F9" s="35">
        <f>SUMIFS(Tabel1[[#All],[Distance]],Tabel1[[#All],[Mdr.]],$B9,Tabel1[[#All],[Type]],Skemaer!$K$18)</f>
        <v>8.94</v>
      </c>
      <c r="G9" s="35">
        <f>SUMIFS(Tabel1[[#All],[Distance]],Tabel1[[#All],[Mdr.]],$B9,Tabel1[[#All],[Type]],Skemaer!$K$19)</f>
        <v>0</v>
      </c>
      <c r="H9" s="35">
        <f>SUMIFS(Tabel1[[#All],[Distance]],Tabel1[[#All],[Mdr.]],$B9,Tabel1[[#All],[Type]],Skemaer!$K$20)</f>
        <v>84.77</v>
      </c>
      <c r="J9" s="3" t="s">
        <v>116</v>
      </c>
      <c r="K9" s="3" t="s">
        <v>117</v>
      </c>
      <c r="L9" s="4">
        <v>569.26</v>
      </c>
      <c r="M9" s="2">
        <f>SUMIF(Tabel1[Sko],J9,Tabel1[Distance])</f>
        <v>421.19999999999993</v>
      </c>
      <c r="N9" s="2">
        <f t="shared" si="0"/>
        <v>990.45999999999992</v>
      </c>
      <c r="P9" s="54" t="str">
        <f>Skemaer!$K$19</f>
        <v>T</v>
      </c>
      <c r="Q9" s="52">
        <f t="shared" si="1"/>
        <v>0</v>
      </c>
      <c r="R9" s="53">
        <f>SUMIFS(Tabel1[[#All],[Distance]],Tabel1[[#All],[Uge]],R$5,Tabel1[[#All],[Type]],Skemaer!$K$19)</f>
        <v>0</v>
      </c>
      <c r="S9" s="53">
        <f>SUMIFS(Tabel1[[#All],[Distance]],Tabel1[[#All],[Uge]],S$5,Tabel1[[#All],[Type]],Skemaer!$K$19)</f>
        <v>0</v>
      </c>
      <c r="T9" s="53">
        <f>SUMIFS(Tabel1[[#All],[Distance]],Tabel1[[#All],[Uge]],T$5,Tabel1[[#All],[Type]],Skemaer!$K$19)</f>
        <v>0</v>
      </c>
      <c r="U9" s="53">
        <f>SUMIFS(Tabel1[[#All],[Distance]],Tabel1[[#All],[Uge]],U$5,Tabel1[[#All],[Type]],Skemaer!$K$19)</f>
        <v>0</v>
      </c>
      <c r="V9" s="53">
        <f>SUMIFS(Tabel1[[#All],[Distance]],Tabel1[[#All],[Uge]],V$5,Tabel1[[#All],[Type]],Skemaer!$K$19)</f>
        <v>0</v>
      </c>
      <c r="W9" s="53">
        <f>SUMIFS(Tabel1[[#All],[Distance]],Tabel1[[#All],[Uge]],W$5,Tabel1[[#All],[Type]],Skemaer!$K$19)</f>
        <v>0</v>
      </c>
      <c r="X9" s="53">
        <f>SUMIFS(Tabel1[[#All],[Distance]],Tabel1[[#All],[Uge]],X$5,Tabel1[[#All],[Type]],Skemaer!$K$19)</f>
        <v>0</v>
      </c>
      <c r="Y9" s="53">
        <f>SUMIFS(Tabel1[[#All],[Distance]],Tabel1[[#All],[Uge]],Y$5,Tabel1[[#All],[Type]],Skemaer!$K$19)</f>
        <v>0</v>
      </c>
      <c r="Z9" s="53">
        <f>SUMIFS(Tabel1[[#All],[Distance]],Tabel1[[#All],[Uge]],Z$5,Tabel1[[#All],[Type]],Skemaer!$K$19)</f>
        <v>0</v>
      </c>
      <c r="AA9" s="53">
        <f>SUMIFS(Tabel1[[#All],[Distance]],Tabel1[[#All],[Uge]],AA$5,Tabel1[[#All],[Type]],Skemaer!$K$19)</f>
        <v>0</v>
      </c>
      <c r="AB9" s="53">
        <f>SUMIFS(Tabel1[[#All],[Distance]],Tabel1[[#All],[Uge]],AB$5,Tabel1[[#All],[Type]],Skemaer!$K$19)</f>
        <v>0</v>
      </c>
      <c r="AC9" s="53">
        <f>SUMIFS(Tabel1[[#All],[Distance]],Tabel1[[#All],[Uge]],AC$5,Tabel1[[#All],[Type]],Skemaer!$K$19)</f>
        <v>0</v>
      </c>
      <c r="AD9" s="53">
        <f>SUMIFS(Tabel1[[#All],[Distance]],Tabel1[[#All],[Uge]],AD$5,Tabel1[[#All],[Type]],Skemaer!$K$19)</f>
        <v>0</v>
      </c>
      <c r="AE9" s="53">
        <f>SUMIFS(Tabel1[[#All],[Distance]],Tabel1[[#All],[Uge]],AE$5,Tabel1[[#All],[Type]],Skemaer!$K$19)</f>
        <v>0</v>
      </c>
      <c r="AF9" s="53">
        <f>SUMIFS(Tabel1[[#All],[Distance]],Tabel1[[#All],[Uge]],AF$5,Tabel1[[#All],[Type]],Skemaer!$K$19)</f>
        <v>0</v>
      </c>
      <c r="AG9" s="53">
        <f>SUMIFS(Tabel1[[#All],[Distance]],Tabel1[[#All],[Uge]],AG$5,Tabel1[[#All],[Type]],Skemaer!$K$19)</f>
        <v>0</v>
      </c>
      <c r="AH9" s="53">
        <f>SUMIFS(Tabel1[[#All],[Distance]],Tabel1[[#All],[Uge]],AH$5,Tabel1[[#All],[Type]],Skemaer!$K$19)</f>
        <v>0</v>
      </c>
      <c r="AI9" s="53">
        <f>SUMIFS(Tabel1[[#All],[Distance]],Tabel1[[#All],[Uge]],AI$5,Tabel1[[#All],[Type]],Skemaer!$K$19)</f>
        <v>0</v>
      </c>
      <c r="AJ9" s="53">
        <f>SUMIFS(Tabel1[[#All],[Distance]],Tabel1[[#All],[Uge]],AJ$5,Tabel1[[#All],[Type]],Skemaer!$K$19)</f>
        <v>0</v>
      </c>
      <c r="AK9" s="53">
        <f>SUMIFS(Tabel1[[#All],[Distance]],Tabel1[[#All],[Uge]],AK$5,Tabel1[[#All],[Type]],Skemaer!$K$19)</f>
        <v>0</v>
      </c>
      <c r="AL9" s="53">
        <f>SUMIFS(Tabel1[[#All],[Distance]],Tabel1[[#All],[Uge]],AL$5,Tabel1[[#All],[Type]],Skemaer!$K$19)</f>
        <v>0</v>
      </c>
      <c r="AM9" s="53">
        <f>SUMIFS(Tabel1[[#All],[Distance]],Tabel1[[#All],[Uge]],AM$5,Tabel1[[#All],[Type]],Skemaer!$K$19)</f>
        <v>0</v>
      </c>
      <c r="AN9" s="53">
        <f>SUMIFS(Tabel1[[#All],[Distance]],Tabel1[[#All],[Uge]],AN$5,Tabel1[[#All],[Type]],Skemaer!$K$19)</f>
        <v>0</v>
      </c>
      <c r="AO9" s="53">
        <f>SUMIFS(Tabel1[[#All],[Distance]],Tabel1[[#All],[Uge]],AO$5,Tabel1[[#All],[Type]],Skemaer!$K$19)</f>
        <v>0</v>
      </c>
      <c r="AP9" s="53">
        <f>SUMIFS(Tabel1[[#All],[Distance]],Tabel1[[#All],[Uge]],AP$5,Tabel1[[#All],[Type]],Skemaer!$K$19)</f>
        <v>0</v>
      </c>
      <c r="AQ9" s="53">
        <f>SUMIFS(Tabel1[[#All],[Distance]],Tabel1[[#All],[Uge]],AQ$5,Tabel1[[#All],[Type]],Skemaer!$K$19)</f>
        <v>0</v>
      </c>
      <c r="AR9" s="53">
        <f>SUMIFS(Tabel1[[#All],[Distance]],Tabel1[[#All],[Uge]],AR$5,Tabel1[[#All],[Type]],Skemaer!$K$19)</f>
        <v>0</v>
      </c>
      <c r="AS9" s="53">
        <f>SUMIFS(Tabel1[[#All],[Distance]],Tabel1[[#All],[Uge]],AS$5,Tabel1[[#All],[Type]],Skemaer!$K$19)</f>
        <v>0</v>
      </c>
      <c r="AT9" s="53">
        <f>SUMIFS(Tabel1[[#All],[Distance]],Tabel1[[#All],[Uge]],AT$5,Tabel1[[#All],[Type]],Skemaer!$K$19)</f>
        <v>0</v>
      </c>
      <c r="AU9" s="53">
        <f>SUMIFS(Tabel1[[#All],[Distance]],Tabel1[[#All],[Uge]],AU$5,Tabel1[[#All],[Type]],Skemaer!$K$19)</f>
        <v>0</v>
      </c>
      <c r="AV9" s="53">
        <f>SUMIFS(Tabel1[[#All],[Distance]],Tabel1[[#All],[Uge]],AV$5,Tabel1[[#All],[Type]],Skemaer!$K$19)</f>
        <v>0</v>
      </c>
      <c r="AW9" s="53">
        <f>SUMIFS(Tabel1[[#All],[Distance]],Tabel1[[#All],[Uge]],AW$5,Tabel1[[#All],[Type]],Skemaer!$K$19)</f>
        <v>0</v>
      </c>
      <c r="AX9" s="53">
        <f>SUMIFS(Tabel1[[#All],[Distance]],Tabel1[[#All],[Uge]],AX$5,Tabel1[[#All],[Type]],Skemaer!$K$19)</f>
        <v>0</v>
      </c>
      <c r="AY9" s="53">
        <f>SUMIFS(Tabel1[[#All],[Distance]],Tabel1[[#All],[Uge]],AY$5,Tabel1[[#All],[Type]],Skemaer!$K$19)</f>
        <v>0</v>
      </c>
      <c r="AZ9" s="53">
        <f>SUMIFS(Tabel1[[#All],[Distance]],Tabel1[[#All],[Uge]],AZ$5,Tabel1[[#All],[Type]],Skemaer!$K$19)</f>
        <v>0</v>
      </c>
      <c r="BA9" s="53">
        <f>SUMIFS(Tabel1[[#All],[Distance]],Tabel1[[#All],[Uge]],BA$5,Tabel1[[#All],[Type]],Skemaer!$K$19)</f>
        <v>0</v>
      </c>
      <c r="BB9" s="53">
        <f>SUMIFS(Tabel1[[#All],[Distance]],Tabel1[[#All],[Uge]],BB$5,Tabel1[[#All],[Type]],Skemaer!$K$19)</f>
        <v>0</v>
      </c>
      <c r="BC9" s="53">
        <f>SUMIFS(Tabel1[[#All],[Distance]],Tabel1[[#All],[Uge]],BC$5,Tabel1[[#All],[Type]],Skemaer!$K$19)</f>
        <v>0</v>
      </c>
      <c r="BD9" s="53">
        <f>SUMIFS(Tabel1[[#All],[Distance]],Tabel1[[#All],[Uge]],BD$5,Tabel1[[#All],[Type]],Skemaer!$K$19)</f>
        <v>0</v>
      </c>
      <c r="BE9" s="53">
        <f>SUMIFS(Tabel1[[#All],[Distance]],Tabel1[[#All],[Uge]],BE$5,Tabel1[[#All],[Type]],Skemaer!$K$19)</f>
        <v>0</v>
      </c>
      <c r="BF9" s="53">
        <f>SUMIFS(Tabel1[[#All],[Distance]],Tabel1[[#All],[Uge]],BF$5,Tabel1[[#All],[Type]],Skemaer!$K$19)</f>
        <v>0</v>
      </c>
      <c r="BG9" s="53">
        <f>SUMIFS(Tabel1[[#All],[Distance]],Tabel1[[#All],[Uge]],BG$5,Tabel1[[#All],[Type]],Skemaer!$K$19)</f>
        <v>0</v>
      </c>
      <c r="BH9" s="53">
        <f>SUMIFS(Tabel1[[#All],[Distance]],Tabel1[[#All],[Uge]],BH$5,Tabel1[[#All],[Type]],Skemaer!$K$19)</f>
        <v>0</v>
      </c>
      <c r="BI9" s="53">
        <f>SUMIFS(Tabel1[[#All],[Distance]],Tabel1[[#All],[Uge]],BI$5,Tabel1[[#All],[Type]],Skemaer!$K$19)</f>
        <v>0</v>
      </c>
      <c r="BJ9" s="53">
        <f>SUMIFS(Tabel1[[#All],[Distance]],Tabel1[[#All],[Uge]],BJ$5,Tabel1[[#All],[Type]],Skemaer!$K$19)</f>
        <v>0</v>
      </c>
      <c r="BK9" s="53">
        <f>SUMIFS(Tabel1[[#All],[Distance]],Tabel1[[#All],[Uge]],BK$5,Tabel1[[#All],[Type]],Skemaer!$K$19)</f>
        <v>0</v>
      </c>
      <c r="BL9" s="53">
        <f>SUMIFS(Tabel1[[#All],[Distance]],Tabel1[[#All],[Uge]],BL$5,Tabel1[[#All],[Type]],Skemaer!$K$19)</f>
        <v>0</v>
      </c>
      <c r="BM9" s="53">
        <f>SUMIFS(Tabel1[[#All],[Distance]],Tabel1[[#All],[Uge]],BM$5,Tabel1[[#All],[Type]],Skemaer!$K$19)</f>
        <v>0</v>
      </c>
      <c r="BN9" s="53">
        <f>SUMIFS(Tabel1[[#All],[Distance]],Tabel1[[#All],[Uge]],BN$5,Tabel1[[#All],[Type]],Skemaer!$K$19)</f>
        <v>0</v>
      </c>
      <c r="BO9" s="53">
        <f>SUMIFS(Tabel1[[#All],[Distance]],Tabel1[[#All],[Uge]],BO$5,Tabel1[[#All],[Type]],Skemaer!$K$19)</f>
        <v>0</v>
      </c>
      <c r="BP9" s="53">
        <f>SUMIFS(Tabel1[[#All],[Distance]],Tabel1[[#All],[Uge]],BP$5,Tabel1[[#All],[Type]],Skemaer!$K$19)</f>
        <v>0</v>
      </c>
      <c r="BQ9" s="53">
        <f>SUMIFS(Tabel1[[#All],[Distance]],Tabel1[[#All],[Uge]],BQ$5,Tabel1[[#All],[Type]],Skemaer!$K$19)</f>
        <v>0</v>
      </c>
      <c r="BR9" s="53">
        <f>SUMIFS(Tabel1[[#All],[Distance]],Tabel1[[#All],[Uge]],BR$5,Tabel1[[#All],[Type]],Skemaer!$K$19)</f>
        <v>0</v>
      </c>
    </row>
    <row r="10" spans="1:71" x14ac:dyDescent="0.3">
      <c r="A10" t="s">
        <v>20</v>
      </c>
      <c r="B10">
        <v>5</v>
      </c>
      <c r="C10" s="2">
        <f>SUMIF(Tabel1[[#All],[Mdr.]],B10,Tabel1[[#All],[Distance]])</f>
        <v>170.76</v>
      </c>
      <c r="D10" s="35">
        <f>SUMIFS(Tabel1[[#All],[Distance]],Tabel1[[#All],[Mdr.]],$B10,Tabel1[[#All],[Type]],Skemaer!$K$16)</f>
        <v>33.57</v>
      </c>
      <c r="E10" s="35">
        <f>SUMIFS(Tabel1[[#All],[Distance]],Tabel1[[#All],[Mdr.]],$B10,Tabel1[[#All],[Type]],Skemaer!$K$17)</f>
        <v>0</v>
      </c>
      <c r="F10" s="35">
        <f>SUMIFS(Tabel1[[#All],[Distance]],Tabel1[[#All],[Mdr.]],$B10,Tabel1[[#All],[Type]],Skemaer!$K$18)</f>
        <v>52.29</v>
      </c>
      <c r="G10" s="35">
        <f>SUMIFS(Tabel1[[#All],[Distance]],Tabel1[[#All],[Mdr.]],$B10,Tabel1[[#All],[Type]],Skemaer!$K$19)</f>
        <v>0</v>
      </c>
      <c r="H10" s="35">
        <f>SUMIFS(Tabel1[[#All],[Distance]],Tabel1[[#All],[Mdr.]],$B10,Tabel1[[#All],[Type]],Skemaer!$K$20)</f>
        <v>84.9</v>
      </c>
      <c r="J10" s="3" t="s">
        <v>120</v>
      </c>
      <c r="K10" s="3" t="s">
        <v>121</v>
      </c>
      <c r="L10" s="4">
        <v>42.5</v>
      </c>
      <c r="M10" s="2">
        <f>SUMIF(Tabel1[Sko],J10,Tabel1[Distance])</f>
        <v>696.09000000000026</v>
      </c>
      <c r="N10" s="2">
        <f t="shared" si="0"/>
        <v>738.59000000000026</v>
      </c>
      <c r="P10" s="54" t="str">
        <f>Skemaer!$K$20</f>
        <v>K</v>
      </c>
      <c r="Q10" s="52">
        <f t="shared" si="1"/>
        <v>1321.23</v>
      </c>
      <c r="R10" s="53">
        <f>SUMIFS(Tabel1[[#All],[Distance]],Tabel1[[#All],[Uge]],R$5,Tabel1[[#All],[Type]],Skemaer!$K$20)</f>
        <v>0</v>
      </c>
      <c r="S10" s="53">
        <f>SUMIFS(Tabel1[[#All],[Distance]],Tabel1[[#All],[Uge]],S$5,Tabel1[[#All],[Type]],Skemaer!$K$20)</f>
        <v>0</v>
      </c>
      <c r="T10" s="53">
        <f>SUMIFS(Tabel1[[#All],[Distance]],Tabel1[[#All],[Uge]],T$5,Tabel1[[#All],[Type]],Skemaer!$K$20)</f>
        <v>42.22</v>
      </c>
      <c r="U10" s="53">
        <f>SUMIFS(Tabel1[[#All],[Distance]],Tabel1[[#All],[Uge]],U$5,Tabel1[[#All],[Type]],Skemaer!$K$20)</f>
        <v>52.620000000000005</v>
      </c>
      <c r="V10" s="53">
        <f>SUMIFS(Tabel1[[#All],[Distance]],Tabel1[[#All],[Uge]],V$5,Tabel1[[#All],[Type]],Skemaer!$K$20)</f>
        <v>0</v>
      </c>
      <c r="W10" s="53">
        <f>SUMIFS(Tabel1[[#All],[Distance]],Tabel1[[#All],[Uge]],W$5,Tabel1[[#All],[Type]],Skemaer!$K$20)</f>
        <v>42.45</v>
      </c>
      <c r="X10" s="53">
        <f>SUMIFS(Tabel1[[#All],[Distance]],Tabel1[[#All],[Uge]],X$5,Tabel1[[#All],[Type]],Skemaer!$K$20)</f>
        <v>0</v>
      </c>
      <c r="Y10" s="53">
        <f>SUMIFS(Tabel1[[#All],[Distance]],Tabel1[[#All],[Uge]],Y$5,Tabel1[[#All],[Type]],Skemaer!$K$20)</f>
        <v>42.33</v>
      </c>
      <c r="Z10" s="53">
        <f>SUMIFS(Tabel1[[#All],[Distance]],Tabel1[[#All],[Uge]],Z$5,Tabel1[[#All],[Type]],Skemaer!$K$20)</f>
        <v>57.83</v>
      </c>
      <c r="AA10" s="53">
        <f>SUMIFS(Tabel1[[#All],[Distance]],Tabel1[[#All],[Uge]],AA$5,Tabel1[[#All],[Type]],Skemaer!$K$20)</f>
        <v>42.3</v>
      </c>
      <c r="AB10" s="53">
        <f>SUMIFS(Tabel1[[#All],[Distance]],Tabel1[[#All],[Uge]],AB$5,Tabel1[[#All],[Type]],Skemaer!$K$20)</f>
        <v>0</v>
      </c>
      <c r="AC10" s="53">
        <f>SUMIFS(Tabel1[[#All],[Distance]],Tabel1[[#All],[Uge]],AC$5,Tabel1[[#All],[Type]],Skemaer!$K$20)</f>
        <v>0</v>
      </c>
      <c r="AD10" s="53">
        <f>SUMIFS(Tabel1[[#All],[Distance]],Tabel1[[#All],[Uge]],AD$5,Tabel1[[#All],[Type]],Skemaer!$K$20)</f>
        <v>0</v>
      </c>
      <c r="AE10" s="53">
        <f>SUMIFS(Tabel1[[#All],[Distance]],Tabel1[[#All],[Uge]],AE$5,Tabel1[[#All],[Type]],Skemaer!$K$20)</f>
        <v>42.27</v>
      </c>
      <c r="AF10" s="53">
        <f>SUMIFS(Tabel1[[#All],[Distance]],Tabel1[[#All],[Uge]],AF$5,Tabel1[[#All],[Type]],Skemaer!$K$20)</f>
        <v>42.23</v>
      </c>
      <c r="AG10" s="53">
        <f>SUMIFS(Tabel1[[#All],[Distance]],Tabel1[[#All],[Uge]],AG$5,Tabel1[[#All],[Type]],Skemaer!$K$20)</f>
        <v>0</v>
      </c>
      <c r="AH10" s="53">
        <f>SUMIFS(Tabel1[[#All],[Distance]],Tabel1[[#All],[Uge]],AH$5,Tabel1[[#All],[Type]],Skemaer!$K$20)</f>
        <v>0</v>
      </c>
      <c r="AI10" s="53">
        <f>SUMIFS(Tabel1[[#All],[Distance]],Tabel1[[#All],[Uge]],AI$5,Tabel1[[#All],[Type]],Skemaer!$K$20)</f>
        <v>42.54</v>
      </c>
      <c r="AJ10" s="53">
        <f>SUMIFS(Tabel1[[#All],[Distance]],Tabel1[[#All],[Uge]],AJ$5,Tabel1[[#All],[Type]],Skemaer!$K$20)</f>
        <v>42.2</v>
      </c>
      <c r="AK10" s="53">
        <f>SUMIFS(Tabel1[[#All],[Distance]],Tabel1[[#All],[Uge]],AK$5,Tabel1[[#All],[Type]],Skemaer!$K$20)</f>
        <v>0</v>
      </c>
      <c r="AL10" s="53">
        <f>SUMIFS(Tabel1[[#All],[Distance]],Tabel1[[#All],[Uge]],AL$5,Tabel1[[#All],[Type]],Skemaer!$K$20)</f>
        <v>0</v>
      </c>
      <c r="AM10" s="53">
        <f>SUMIFS(Tabel1[[#All],[Distance]],Tabel1[[#All],[Uge]],AM$5,Tabel1[[#All],[Type]],Skemaer!$K$20)</f>
        <v>42.7</v>
      </c>
      <c r="AN10" s="53">
        <f>SUMIFS(Tabel1[[#All],[Distance]],Tabel1[[#All],[Uge]],AN$5,Tabel1[[#All],[Type]],Skemaer!$K$20)</f>
        <v>42.83</v>
      </c>
      <c r="AO10" s="53">
        <f>SUMIFS(Tabel1[[#All],[Distance]],Tabel1[[#All],[Uge]],AO$5,Tabel1[[#All],[Type]],Skemaer!$K$20)</f>
        <v>85.300000000000011</v>
      </c>
      <c r="AP10" s="53">
        <f>SUMIFS(Tabel1[[#All],[Distance]],Tabel1[[#All],[Uge]],AP$5,Tabel1[[#All],[Type]],Skemaer!$K$20)</f>
        <v>42.46</v>
      </c>
      <c r="AQ10" s="53">
        <f>SUMIFS(Tabel1[[#All],[Distance]],Tabel1[[#All],[Uge]],AQ$5,Tabel1[[#All],[Type]],Skemaer!$K$20)</f>
        <v>84.789999999999992</v>
      </c>
      <c r="AR10" s="53">
        <f>SUMIFS(Tabel1[[#All],[Distance]],Tabel1[[#All],[Uge]],AR$5,Tabel1[[#All],[Type]],Skemaer!$K$20)</f>
        <v>84.87</v>
      </c>
      <c r="AS10" s="53">
        <f>SUMIFS(Tabel1[[#All],[Distance]],Tabel1[[#All],[Uge]],AS$5,Tabel1[[#All],[Type]],Skemaer!$K$20)</f>
        <v>0</v>
      </c>
      <c r="AT10" s="53">
        <f>SUMIFS(Tabel1[[#All],[Distance]],Tabel1[[#All],[Uge]],AT$5,Tabel1[[#All],[Type]],Skemaer!$K$20)</f>
        <v>0</v>
      </c>
      <c r="AU10" s="53">
        <f>SUMIFS(Tabel1[[#All],[Distance]],Tabel1[[#All],[Uge]],AU$5,Tabel1[[#All],[Type]],Skemaer!$K$20)</f>
        <v>42.56</v>
      </c>
      <c r="AV10" s="53">
        <f>SUMIFS(Tabel1[[#All],[Distance]],Tabel1[[#All],[Uge]],AV$5,Tabel1[[#All],[Type]],Skemaer!$K$20)</f>
        <v>85.13</v>
      </c>
      <c r="AW10" s="53">
        <f>SUMIFS(Tabel1[[#All],[Distance]],Tabel1[[#All],[Uge]],AW$5,Tabel1[[#All],[Type]],Skemaer!$K$20)</f>
        <v>0</v>
      </c>
      <c r="AX10" s="53">
        <f>SUMIFS(Tabel1[[#All],[Distance]],Tabel1[[#All],[Uge]],AX$5,Tabel1[[#All],[Type]],Skemaer!$K$20)</f>
        <v>84.87</v>
      </c>
      <c r="AY10" s="53">
        <f>SUMIFS(Tabel1[[#All],[Distance]],Tabel1[[#All],[Uge]],AY$5,Tabel1[[#All],[Type]],Skemaer!$K$20)</f>
        <v>0</v>
      </c>
      <c r="AZ10" s="53">
        <f>SUMIFS(Tabel1[[#All],[Distance]],Tabel1[[#All],[Uge]],AZ$5,Tabel1[[#All],[Type]],Skemaer!$K$20)</f>
        <v>85.22</v>
      </c>
      <c r="BA10" s="53">
        <f>SUMIFS(Tabel1[[#All],[Distance]],Tabel1[[#All],[Uge]],BA$5,Tabel1[[#All],[Type]],Skemaer!$K$20)</f>
        <v>42.22</v>
      </c>
      <c r="BB10" s="53">
        <f>SUMIFS(Tabel1[[#All],[Distance]],Tabel1[[#All],[Uge]],BB$5,Tabel1[[#All],[Type]],Skemaer!$K$20)</f>
        <v>0</v>
      </c>
      <c r="BC10" s="53">
        <f>SUMIFS(Tabel1[[#All],[Distance]],Tabel1[[#All],[Uge]],BC$5,Tabel1[[#All],[Type]],Skemaer!$K$20)</f>
        <v>21.95</v>
      </c>
      <c r="BD10" s="53">
        <f>SUMIFS(Tabel1[[#All],[Distance]],Tabel1[[#All],[Uge]],BD$5,Tabel1[[#All],[Type]],Skemaer!$K$20)</f>
        <v>85.09</v>
      </c>
      <c r="BE10" s="53">
        <f>SUMIFS(Tabel1[[#All],[Distance]],Tabel1[[#All],[Uge]],BE$5,Tabel1[[#All],[Type]],Skemaer!$K$20)</f>
        <v>0</v>
      </c>
      <c r="BF10" s="53">
        <f>SUMIFS(Tabel1[[#All],[Distance]],Tabel1[[#All],[Uge]],BF$5,Tabel1[[#All],[Type]],Skemaer!$K$20)</f>
        <v>42.25</v>
      </c>
      <c r="BG10" s="53">
        <f>SUMIFS(Tabel1[[#All],[Distance]],Tabel1[[#All],[Uge]],BG$5,Tabel1[[#All],[Type]],Skemaer!$K$20)</f>
        <v>0</v>
      </c>
      <c r="BH10" s="53">
        <f>SUMIFS(Tabel1[[#All],[Distance]],Tabel1[[#All],[Uge]],BH$5,Tabel1[[#All],[Type]],Skemaer!$K$20)</f>
        <v>0</v>
      </c>
      <c r="BI10" s="53">
        <f>SUMIFS(Tabel1[[#All],[Distance]],Tabel1[[#All],[Uge]],BI$5,Tabel1[[#All],[Type]],Skemaer!$K$20)</f>
        <v>0</v>
      </c>
      <c r="BJ10" s="53">
        <f>SUMIFS(Tabel1[[#All],[Distance]],Tabel1[[#All],[Uge]],BJ$5,Tabel1[[#All],[Type]],Skemaer!$K$20)</f>
        <v>0</v>
      </c>
      <c r="BK10" s="53">
        <f>SUMIFS(Tabel1[[#All],[Distance]],Tabel1[[#All],[Uge]],BK$5,Tabel1[[#All],[Type]],Skemaer!$K$20)</f>
        <v>0</v>
      </c>
      <c r="BL10" s="53">
        <f>SUMIFS(Tabel1[[#All],[Distance]],Tabel1[[#All],[Uge]],BL$5,Tabel1[[#All],[Type]],Skemaer!$K$20)</f>
        <v>0</v>
      </c>
      <c r="BM10" s="53">
        <f>SUMIFS(Tabel1[[#All],[Distance]],Tabel1[[#All],[Uge]],BM$5,Tabel1[[#All],[Type]],Skemaer!$K$20)</f>
        <v>0</v>
      </c>
      <c r="BN10" s="53">
        <f>SUMIFS(Tabel1[[#All],[Distance]],Tabel1[[#All],[Uge]],BN$5,Tabel1[[#All],[Type]],Skemaer!$K$20)</f>
        <v>0</v>
      </c>
      <c r="BO10" s="53">
        <f>SUMIFS(Tabel1[[#All],[Distance]],Tabel1[[#All],[Uge]],BO$5,Tabel1[[#All],[Type]],Skemaer!$K$20)</f>
        <v>0</v>
      </c>
      <c r="BP10" s="53">
        <f>SUMIFS(Tabel1[[#All],[Distance]],Tabel1[[#All],[Uge]],BP$5,Tabel1[[#All],[Type]],Skemaer!$K$20)</f>
        <v>0</v>
      </c>
      <c r="BQ10" s="53">
        <f>SUMIFS(Tabel1[[#All],[Distance]],Tabel1[[#All],[Uge]],BQ$5,Tabel1[[#All],[Type]],Skemaer!$K$20)</f>
        <v>0</v>
      </c>
      <c r="BR10" s="53">
        <f>SUMIFS(Tabel1[[#All],[Distance]],Tabel1[[#All],[Uge]],BR$5,Tabel1[[#All],[Type]],Skemaer!$K$20)</f>
        <v>0</v>
      </c>
    </row>
    <row r="11" spans="1:71" x14ac:dyDescent="0.3">
      <c r="A11" t="s">
        <v>21</v>
      </c>
      <c r="B11">
        <v>6</v>
      </c>
      <c r="C11" s="2">
        <f>SUMIF(Tabel1[[#All],[Mdr.]],B11,Tabel1[[#All],[Distance]])</f>
        <v>322.14</v>
      </c>
      <c r="D11" s="35">
        <f>SUMIFS(Tabel1[[#All],[Distance]],Tabel1[[#All],[Mdr.]],$B11,Tabel1[[#All],[Type]],Skemaer!$K$16)</f>
        <v>0</v>
      </c>
      <c r="E11" s="35">
        <f>SUMIFS(Tabel1[[#All],[Distance]],Tabel1[[#All],[Mdr.]],$B11,Tabel1[[#All],[Type]],Skemaer!$K$17)</f>
        <v>0</v>
      </c>
      <c r="F11" s="35">
        <f>SUMIFS(Tabel1[[#All],[Distance]],Tabel1[[#All],[Mdr.]],$B11,Tabel1[[#All],[Type]],Skemaer!$K$18)</f>
        <v>24.3</v>
      </c>
      <c r="G11" s="35">
        <f>SUMIFS(Tabel1[[#All],[Distance]],Tabel1[[#All],[Mdr.]],$B11,Tabel1[[#All],[Type]],Skemaer!$K$19)</f>
        <v>0</v>
      </c>
      <c r="H11" s="35">
        <f>SUMIFS(Tabel1[[#All],[Distance]],Tabel1[[#All],[Mdr.]],$B11,Tabel1[[#All],[Type]],Skemaer!$K$20)</f>
        <v>297.83999999999997</v>
      </c>
      <c r="J11" s="3" t="s">
        <v>136</v>
      </c>
      <c r="K11" s="3" t="s">
        <v>135</v>
      </c>
      <c r="L11" s="4">
        <v>0</v>
      </c>
      <c r="M11" s="2">
        <f>SUMIF(Tabel1[Sko],J11,Tabel1[Distance])</f>
        <v>783.94000000000017</v>
      </c>
      <c r="N11" s="2">
        <f>SUM(L11:M11)</f>
        <v>783.94000000000017</v>
      </c>
      <c r="P11" s="5" t="s">
        <v>3</v>
      </c>
      <c r="Q11" s="5">
        <f t="shared" si="1"/>
        <v>1940.6000000000001</v>
      </c>
      <c r="R11" s="5">
        <f>SUMIF(Tabel1[[#All],[Uge]],R5,Tabel1[[#All],[Distance]])</f>
        <v>0</v>
      </c>
      <c r="S11" s="5">
        <f>SUMIF(Tabel1[[#All],[Uge]],S5,Tabel1[[#All],[Distance]])</f>
        <v>36.31</v>
      </c>
      <c r="T11" s="5">
        <f>SUMIF(Tabel1[[#All],[Uge]],T5,Tabel1[[#All],[Distance]])</f>
        <v>71.569999999999993</v>
      </c>
      <c r="U11" s="5">
        <f>SUMIF(Tabel1[[#All],[Uge]],U5,Tabel1[[#All],[Distance]])</f>
        <v>52.620000000000005</v>
      </c>
      <c r="V11" s="5">
        <f>SUMIF(Tabel1[[#All],[Uge]],V5,Tabel1[[#All],[Distance]])</f>
        <v>41.800000000000004</v>
      </c>
      <c r="W11" s="5">
        <f>SUMIF(Tabel1[[#All],[Uge]],W5,Tabel1[[#All],[Distance]])</f>
        <v>76.61</v>
      </c>
      <c r="X11" s="5">
        <f>SUMIF(Tabel1[[#All],[Uge]],X5,Tabel1[[#All],[Distance]])</f>
        <v>32.47</v>
      </c>
      <c r="Y11" s="5">
        <f>SUMIF(Tabel1[[#All],[Uge]],Y5,Tabel1[[#All],[Distance]])</f>
        <v>66.45</v>
      </c>
      <c r="Z11" s="5">
        <f>SUMIF(Tabel1[[#All],[Uge]],Z5,Tabel1[[#All],[Distance]])</f>
        <v>68.180000000000007</v>
      </c>
      <c r="AA11" s="5">
        <f>SUMIF(Tabel1[[#All],[Uge]],AA5,Tabel1[[#All],[Distance]])</f>
        <v>66.77</v>
      </c>
      <c r="AB11" s="5">
        <f>SUMIF(Tabel1[[#All],[Uge]],AB5,Tabel1[[#All],[Distance]])</f>
        <v>10.050000000000001</v>
      </c>
      <c r="AC11" s="5">
        <f>SUMIF(Tabel1[[#All],[Uge]],AC5,Tabel1[[#All],[Distance]])</f>
        <v>21.66</v>
      </c>
      <c r="AD11" s="5">
        <f>SUMIF(Tabel1[[#All],[Uge]],AD5,Tabel1[[#All],[Distance]])</f>
        <v>26.26</v>
      </c>
      <c r="AE11" s="5">
        <f>SUMIF(Tabel1[[#All],[Uge]],AE5,Tabel1[[#All],[Distance]])</f>
        <v>70.28</v>
      </c>
      <c r="AF11" s="5">
        <f>SUMIF(Tabel1[[#All],[Uge]],AF5,Tabel1[[#All],[Distance]])</f>
        <v>65.239999999999995</v>
      </c>
      <c r="AG11" s="5">
        <f>SUMIF(Tabel1[[#All],[Uge]],AG5,Tabel1[[#All],[Distance]])</f>
        <v>21.75</v>
      </c>
      <c r="AH11" s="5">
        <f>SUMIF(Tabel1[[#All],[Uge]],AH5,Tabel1[[#All],[Distance]])</f>
        <v>38.409999999999997</v>
      </c>
      <c r="AI11" s="5">
        <f>SUMIF(Tabel1[[#All],[Uge]],AI5,Tabel1[[#All],[Distance]])</f>
        <v>63.099999999999994</v>
      </c>
      <c r="AJ11" s="5">
        <f>SUMIF(Tabel1[[#All],[Uge]],AJ5,Tabel1[[#All],[Distance]])</f>
        <v>66.5</v>
      </c>
      <c r="AK11" s="5">
        <f>SUMIF(Tabel1[[#All],[Uge]],AK5,Tabel1[[#All],[Distance]])</f>
        <v>35.86</v>
      </c>
      <c r="AL11" s="5">
        <f>SUMIF(Tabel1[[#All],[Uge]],AL5,Tabel1[[#All],[Distance]])</f>
        <v>6.3</v>
      </c>
      <c r="AM11" s="5">
        <f>SUMIF(Tabel1[[#All],[Uge]],AM5,Tabel1[[#All],[Distance]])</f>
        <v>51.97</v>
      </c>
      <c r="AN11" s="5">
        <f>SUMIF(Tabel1[[#All],[Uge]],AN5,Tabel1[[#All],[Distance]])</f>
        <v>52.96</v>
      </c>
      <c r="AO11" s="5">
        <f>SUMIF(Tabel1[[#All],[Uge]],AO5,Tabel1[[#All],[Distance]])</f>
        <v>90.84</v>
      </c>
      <c r="AP11" s="5">
        <f>SUMIF(Tabel1[[#All],[Uge]],AP5,Tabel1[[#All],[Distance]])</f>
        <v>47.65</v>
      </c>
      <c r="AQ11" s="5">
        <f>SUMIF(Tabel1[[#All],[Uge]],AQ5,Tabel1[[#All],[Distance]])</f>
        <v>84.789999999999992</v>
      </c>
      <c r="AR11" s="5">
        <f>SUMIF(Tabel1[[#All],[Uge]],AR5,Tabel1[[#All],[Distance]])</f>
        <v>98.44</v>
      </c>
      <c r="AS11" s="5">
        <f>SUMIF(Tabel1[[#All],[Uge]],AS5,Tabel1[[#All],[Distance]])</f>
        <v>5.16</v>
      </c>
      <c r="AT11" s="5">
        <f>SUMIF(Tabel1[[#All],[Uge]],AT5,Tabel1[[#All],[Distance]])</f>
        <v>7.01</v>
      </c>
      <c r="AU11" s="5">
        <f>SUMIF(Tabel1[[#All],[Uge]],AU5,Tabel1[[#All],[Distance]])</f>
        <v>47.78</v>
      </c>
      <c r="AV11" s="5">
        <f>SUMIF(Tabel1[[#All],[Uge]],AV5,Tabel1[[#All],[Distance]])</f>
        <v>85.13</v>
      </c>
      <c r="AW11" s="5">
        <f>SUMIF(Tabel1[[#All],[Uge]],AW5,Tabel1[[#All],[Distance]])</f>
        <v>30.13</v>
      </c>
      <c r="AX11" s="5">
        <f>SUMIF(Tabel1[[#All],[Uge]],AX5,Tabel1[[#All],[Distance]])</f>
        <v>84.87</v>
      </c>
      <c r="AY11" s="5">
        <f>SUMIF(Tabel1[[#All],[Uge]],AY5,Tabel1[[#All],[Distance]])</f>
        <v>19.919999999999998</v>
      </c>
      <c r="AZ11" s="5">
        <f>SUMIF(Tabel1[[#All],[Uge]],AZ5,Tabel1[[#All],[Distance]])</f>
        <v>85.22</v>
      </c>
      <c r="BA11" s="5">
        <f>SUMIF(Tabel1[[#All],[Uge]],BA5,Tabel1[[#All],[Distance]])</f>
        <v>42.22</v>
      </c>
      <c r="BB11" s="5">
        <f>SUMIF(Tabel1[[#All],[Uge]],BB5,Tabel1[[#All],[Distance]])</f>
        <v>8.4600000000000009</v>
      </c>
      <c r="BC11" s="5">
        <f>SUMIF(Tabel1[[#All],[Uge]],BC5,Tabel1[[#All],[Distance]])</f>
        <v>26.03</v>
      </c>
      <c r="BD11" s="5">
        <f>SUMIF(Tabel1[[#All],[Uge]],BD5,Tabel1[[#All],[Distance]])</f>
        <v>85.09</v>
      </c>
      <c r="BE11" s="5">
        <f>SUMIF(Tabel1[[#All],[Uge]],BE5,Tabel1[[#All],[Distance]])</f>
        <v>6.49</v>
      </c>
      <c r="BF11" s="5">
        <f>SUMIF(Tabel1[[#All],[Uge]],BF5,Tabel1[[#All],[Distance]])</f>
        <v>42.25</v>
      </c>
      <c r="BG11" s="5">
        <f>SUMIF(Tabel1[[#All],[Uge]],BG5,Tabel1[[#All],[Distance]])</f>
        <v>0</v>
      </c>
      <c r="BH11" s="5">
        <f>SUMIF(Tabel1[[#All],[Uge]],BH5,Tabel1[[#All],[Distance]])</f>
        <v>0</v>
      </c>
      <c r="BI11" s="5">
        <f>SUMIF(Tabel1[[#All],[Uge]],BI5,Tabel1[[#All],[Distance]])</f>
        <v>0</v>
      </c>
      <c r="BJ11" s="5">
        <f>SUMIF(Tabel1[[#All],[Uge]],BJ5,Tabel1[[#All],[Distance]])</f>
        <v>0</v>
      </c>
      <c r="BK11" s="5">
        <f>SUMIF(Tabel1[[#All],[Uge]],BK5,Tabel1[[#All],[Distance]])</f>
        <v>0</v>
      </c>
      <c r="BL11" s="5">
        <f>SUMIF(Tabel1[[#All],[Uge]],BL5,Tabel1[[#All],[Distance]])</f>
        <v>0</v>
      </c>
      <c r="BM11" s="5">
        <f>SUMIF(Tabel1[[#All],[Uge]],BM5,Tabel1[[#All],[Distance]])</f>
        <v>0</v>
      </c>
      <c r="BN11" s="5">
        <f>SUMIF(Tabel1[[#All],[Uge]],BN5,Tabel1[[#All],[Distance]])</f>
        <v>0</v>
      </c>
      <c r="BO11" s="5">
        <f>SUMIF(Tabel1[[#All],[Uge]],BO5,Tabel1[[#All],[Distance]])</f>
        <v>0</v>
      </c>
      <c r="BP11" s="5">
        <f>SUMIF(Tabel1[[#All],[Uge]],BP5,Tabel1[[#All],[Distance]])</f>
        <v>0</v>
      </c>
      <c r="BQ11" s="5">
        <f>SUMIF(Tabel1[[#All],[Uge]],BQ5,Tabel1[[#All],[Distance]])</f>
        <v>0</v>
      </c>
      <c r="BR11" s="5">
        <f>SUMIF(Tabel1[[#All],[Uge]],BR5,Tabel1[[#All],[Distance]])</f>
        <v>0</v>
      </c>
    </row>
    <row r="12" spans="1:71" x14ac:dyDescent="0.3">
      <c r="A12" t="s">
        <v>22</v>
      </c>
      <c r="B12">
        <v>7</v>
      </c>
      <c r="C12" s="2">
        <f>SUMIF(Tabel1[[#All],[Mdr.]],B12,Tabel1[[#All],[Distance]])</f>
        <v>187.48999999999998</v>
      </c>
      <c r="D12" s="35">
        <f>SUMIFS(Tabel1[[#All],[Distance]],Tabel1[[#All],[Mdr.]],$B12,Tabel1[[#All],[Type]],Skemaer!$K$16)</f>
        <v>0</v>
      </c>
      <c r="E12" s="35">
        <f>SUMIFS(Tabel1[[#All],[Distance]],Tabel1[[#All],[Mdr.]],$B12,Tabel1[[#All],[Type]],Skemaer!$K$17)</f>
        <v>5.16</v>
      </c>
      <c r="F12" s="35">
        <f>SUMIFS(Tabel1[[#All],[Distance]],Tabel1[[#All],[Mdr.]],$B12,Tabel1[[#All],[Type]],Skemaer!$K$18)</f>
        <v>12.23</v>
      </c>
      <c r="G12" s="35">
        <f>SUMIFS(Tabel1[[#All],[Distance]],Tabel1[[#All],[Mdr.]],$B12,Tabel1[[#All],[Type]],Skemaer!$K$19)</f>
        <v>0</v>
      </c>
      <c r="H12" s="35">
        <f>SUMIFS(Tabel1[[#All],[Distance]],Tabel1[[#All],[Mdr.]],$B12,Tabel1[[#All],[Type]],Skemaer!$K$20)</f>
        <v>170.1</v>
      </c>
      <c r="J12" t="s">
        <v>190</v>
      </c>
      <c r="K12" t="s">
        <v>191</v>
      </c>
      <c r="L12" s="2">
        <v>0</v>
      </c>
      <c r="M12" s="2">
        <f>SUMIF(Tabel1[Sko],J12,Tabel1[Distance])</f>
        <v>21.95</v>
      </c>
      <c r="N12" s="2">
        <f t="shared" si="0"/>
        <v>21.95</v>
      </c>
    </row>
    <row r="13" spans="1:71" x14ac:dyDescent="0.3">
      <c r="A13" t="s">
        <v>23</v>
      </c>
      <c r="B13">
        <v>8</v>
      </c>
      <c r="C13" s="2">
        <f>SUMIF(Tabel1[[#All],[Mdr.]],B13,Tabel1[[#All],[Distance]])</f>
        <v>220.14</v>
      </c>
      <c r="D13" s="35">
        <f>SUMIFS(Tabel1[[#All],[Distance]],Tabel1[[#All],[Mdr.]],$B13,Tabel1[[#All],[Type]],Skemaer!$K$16)</f>
        <v>0</v>
      </c>
      <c r="E13" s="35">
        <f>SUMIFS(Tabel1[[#All],[Distance]],Tabel1[[#All],[Mdr.]],$B13,Tabel1[[#All],[Type]],Skemaer!$K$17)</f>
        <v>0</v>
      </c>
      <c r="F13" s="35">
        <f>SUMIFS(Tabel1[[#All],[Distance]],Tabel1[[#All],[Mdr.]],$B13,Tabel1[[#All],[Type]],Skemaer!$K$18)</f>
        <v>50.05</v>
      </c>
      <c r="G13" s="35">
        <f>SUMIFS(Tabel1[[#All],[Distance]],Tabel1[[#All],[Mdr.]],$B13,Tabel1[[#All],[Type]],Skemaer!$K$19)</f>
        <v>0</v>
      </c>
      <c r="H13" s="35">
        <f>SUMIFS(Tabel1[[#All],[Distance]],Tabel1[[#All],[Mdr.]],$B13,Tabel1[[#All],[Type]],Skemaer!$K$20)</f>
        <v>170.09</v>
      </c>
      <c r="L13" s="2"/>
      <c r="M13" s="2"/>
      <c r="N13" s="2"/>
      <c r="P13" s="139" t="s">
        <v>48</v>
      </c>
      <c r="Q13" s="139"/>
    </row>
    <row r="14" spans="1:71" x14ac:dyDescent="0.3">
      <c r="A14" t="s">
        <v>24</v>
      </c>
      <c r="B14">
        <v>9</v>
      </c>
      <c r="C14" s="2">
        <f>SUMIF(Tabel1[[#All],[Mdr.]],B14,Tabel1[[#All],[Distance]])</f>
        <v>168.29</v>
      </c>
      <c r="D14" s="35">
        <f>SUMIFS(Tabel1[[#All],[Distance]],Tabel1[[#All],[Mdr.]],$B14,Tabel1[[#All],[Type]],Skemaer!$K$16)</f>
        <v>0</v>
      </c>
      <c r="E14" s="35">
        <f>SUMIFS(Tabel1[[#All],[Distance]],Tabel1[[#All],[Mdr.]],$B14,Tabel1[[#All],[Type]],Skemaer!$K$17)</f>
        <v>0</v>
      </c>
      <c r="F14" s="35">
        <f>SUMIFS(Tabel1[[#All],[Distance]],Tabel1[[#All],[Mdr.]],$B14,Tabel1[[#All],[Type]],Skemaer!$K$18)</f>
        <v>19.03</v>
      </c>
      <c r="G14" s="35">
        <f>SUMIFS(Tabel1[[#All],[Distance]],Tabel1[[#All],[Mdr.]],$B14,Tabel1[[#All],[Type]],Skemaer!$K$19)</f>
        <v>0</v>
      </c>
      <c r="H14" s="35">
        <f>SUMIFS(Tabel1[[#All],[Distance]],Tabel1[[#All],[Mdr.]],$B14,Tabel1[[#All],[Type]],Skemaer!$K$20)</f>
        <v>149.26</v>
      </c>
      <c r="J14" t="s">
        <v>38</v>
      </c>
      <c r="L14" s="2"/>
      <c r="N14" s="2"/>
      <c r="P14" s="5" t="s">
        <v>46</v>
      </c>
      <c r="Q14" s="5" t="s">
        <v>29</v>
      </c>
      <c r="R14" s="5">
        <v>1</v>
      </c>
      <c r="S14" s="5">
        <v>2</v>
      </c>
      <c r="T14" s="5">
        <v>3</v>
      </c>
      <c r="U14" s="5">
        <v>4</v>
      </c>
      <c r="V14" s="5">
        <v>5</v>
      </c>
      <c r="W14" s="5">
        <v>6</v>
      </c>
      <c r="X14" s="5">
        <v>7</v>
      </c>
      <c r="Y14" s="5">
        <v>8</v>
      </c>
      <c r="Z14" s="5">
        <v>9</v>
      </c>
      <c r="AA14" s="5">
        <v>10</v>
      </c>
      <c r="AB14" s="5">
        <v>11</v>
      </c>
      <c r="AC14" s="5">
        <v>12</v>
      </c>
      <c r="AD14" s="5">
        <v>13</v>
      </c>
      <c r="AE14" s="5">
        <v>14</v>
      </c>
      <c r="AF14" s="5">
        <v>15</v>
      </c>
      <c r="AG14" s="5">
        <v>16</v>
      </c>
      <c r="AH14" s="5">
        <v>17</v>
      </c>
      <c r="AI14" s="5">
        <v>18</v>
      </c>
      <c r="AJ14" s="5">
        <v>19</v>
      </c>
      <c r="AK14" s="5">
        <v>20</v>
      </c>
      <c r="AL14" s="5">
        <v>21</v>
      </c>
      <c r="AM14" s="5">
        <v>22</v>
      </c>
      <c r="AN14" s="5">
        <v>23</v>
      </c>
      <c r="AO14" s="5">
        <v>24</v>
      </c>
      <c r="AP14" s="5">
        <v>25</v>
      </c>
      <c r="AQ14" s="5">
        <v>26</v>
      </c>
      <c r="AR14" s="5">
        <v>27</v>
      </c>
      <c r="AS14" s="5">
        <v>28</v>
      </c>
      <c r="AT14" s="5">
        <v>29</v>
      </c>
      <c r="AU14" s="5">
        <v>30</v>
      </c>
      <c r="AV14" s="5">
        <v>31</v>
      </c>
      <c r="AW14" s="5">
        <v>32</v>
      </c>
      <c r="AX14" s="5">
        <v>33</v>
      </c>
      <c r="AY14" s="5">
        <v>34</v>
      </c>
      <c r="AZ14" s="5">
        <v>35</v>
      </c>
      <c r="BA14" s="5">
        <v>36</v>
      </c>
      <c r="BB14" s="5">
        <v>37</v>
      </c>
      <c r="BC14" s="5">
        <v>38</v>
      </c>
      <c r="BD14" s="5">
        <v>39</v>
      </c>
      <c r="BE14" s="5">
        <v>40</v>
      </c>
      <c r="BF14" s="5">
        <v>41</v>
      </c>
      <c r="BG14" s="5">
        <v>42</v>
      </c>
      <c r="BH14" s="5">
        <v>43</v>
      </c>
      <c r="BI14" s="5">
        <v>44</v>
      </c>
      <c r="BJ14" s="5">
        <v>45</v>
      </c>
      <c r="BK14" s="5">
        <v>46</v>
      </c>
      <c r="BL14" s="5">
        <v>47</v>
      </c>
      <c r="BM14" s="5">
        <v>48</v>
      </c>
      <c r="BN14" s="5">
        <v>49</v>
      </c>
      <c r="BO14" s="5">
        <v>50</v>
      </c>
      <c r="BP14" s="5">
        <v>51</v>
      </c>
      <c r="BQ14" s="5">
        <v>52</v>
      </c>
      <c r="BR14" s="5">
        <v>53</v>
      </c>
      <c r="BS14" s="5" t="s">
        <v>50</v>
      </c>
    </row>
    <row r="15" spans="1:71" x14ac:dyDescent="0.3">
      <c r="A15" t="s">
        <v>25</v>
      </c>
      <c r="B15">
        <v>10</v>
      </c>
      <c r="C15" s="2">
        <f>SUMIF(Tabel1[[#All],[Mdr.]],B15,Tabel1[[#All],[Distance]])</f>
        <v>42.25</v>
      </c>
      <c r="D15" s="35">
        <f>SUMIFS(Tabel1[[#All],[Distance]],Tabel1[[#All],[Mdr.]],$B15,Tabel1[[#All],[Type]],Skemaer!$K$16)</f>
        <v>0</v>
      </c>
      <c r="E15" s="35">
        <f>SUMIFS(Tabel1[[#All],[Distance]],Tabel1[[#All],[Mdr.]],$B15,Tabel1[[#All],[Type]],Skemaer!$K$17)</f>
        <v>0</v>
      </c>
      <c r="F15" s="35">
        <f>SUMIFS(Tabel1[[#All],[Distance]],Tabel1[[#All],[Mdr.]],$B15,Tabel1[[#All],[Type]],Skemaer!$K$18)</f>
        <v>0</v>
      </c>
      <c r="G15" s="35">
        <f>SUMIFS(Tabel1[[#All],[Distance]],Tabel1[[#All],[Mdr.]],$B15,Tabel1[[#All],[Type]],Skemaer!$K$19)</f>
        <v>0</v>
      </c>
      <c r="H15" s="35">
        <f>SUMIFS(Tabel1[[#All],[Distance]],Tabel1[[#All],[Mdr.]],$B15,Tabel1[[#All],[Type]],Skemaer!$K$20)</f>
        <v>42.25</v>
      </c>
      <c r="J15" s="5" t="s">
        <v>2</v>
      </c>
      <c r="K15" s="6" t="s">
        <v>36</v>
      </c>
      <c r="L15" s="8" t="s">
        <v>29</v>
      </c>
      <c r="P15" s="54" t="str">
        <f>Skemaer!$K$16</f>
        <v>D</v>
      </c>
      <c r="Q15" s="52">
        <f t="shared" ref="Q15:Q19" si="2">SUM(R15:BR15)</f>
        <v>364.39</v>
      </c>
      <c r="R15" s="53">
        <f>SUMIFS(Tabel1[[#All],[Distance]],Tabel1[[#All],[Uge]],R$5,Tabel1[[#All],[Type]],Skemaer!$K$16)</f>
        <v>0</v>
      </c>
      <c r="S15" s="53">
        <f>SUMIFS(Tabel1[[#All],[Distance]],Tabel1[[#All],[Uge]],S$5,Tabel1[[#All],[Type]],Skemaer!$K$16)</f>
        <v>16.03</v>
      </c>
      <c r="T15" s="53">
        <f>SUMIFS(Tabel1[[#All],[Distance]],Tabel1[[#All],[Uge]],T$5,Tabel1[[#All],[Type]],Skemaer!$K$16)</f>
        <v>19.100000000000001</v>
      </c>
      <c r="U15" s="53">
        <f>SUMIFS(Tabel1[[#All],[Distance]],Tabel1[[#All],[Uge]],U$5,Tabel1[[#All],[Type]],Skemaer!$K$16)</f>
        <v>0</v>
      </c>
      <c r="V15" s="53">
        <f>SUMIFS(Tabel1[[#All],[Distance]],Tabel1[[#All],[Uge]],V$5,Tabel1[[#All],[Type]],Skemaer!$K$16)</f>
        <v>21.1</v>
      </c>
      <c r="W15" s="53">
        <f>SUMIFS(Tabel1[[#All],[Distance]],Tabel1[[#All],[Uge]],W$5,Tabel1[[#All],[Type]],Skemaer!$K$16)</f>
        <v>23.15</v>
      </c>
      <c r="X15" s="53">
        <f>SUMIFS(Tabel1[[#All],[Distance]],Tabel1[[#All],[Uge]],X$5,Tabel1[[#All],[Type]],Skemaer!$K$16)</f>
        <v>22.08</v>
      </c>
      <c r="Y15" s="53">
        <f>SUMIFS(Tabel1[[#All],[Distance]],Tabel1[[#All],[Uge]],Y$5,Tabel1[[#All],[Type]],Skemaer!$K$16)</f>
        <v>24.12</v>
      </c>
      <c r="Z15" s="53">
        <f>SUMIFS(Tabel1[[#All],[Distance]],Tabel1[[#All],[Uge]],Z$5,Tabel1[[#All],[Type]],Skemaer!$K$16)</f>
        <v>0</v>
      </c>
      <c r="AA15" s="53">
        <f>SUMIFS(Tabel1[[#All],[Distance]],Tabel1[[#All],[Uge]],AA$5,Tabel1[[#All],[Type]],Skemaer!$K$16)</f>
        <v>24.47</v>
      </c>
      <c r="AB15" s="53">
        <f>SUMIFS(Tabel1[[#All],[Distance]],Tabel1[[#All],[Uge]],AB$5,Tabel1[[#All],[Type]],Skemaer!$K$16)</f>
        <v>10.050000000000001</v>
      </c>
      <c r="AC15" s="53">
        <f>SUMIFS(Tabel1[[#All],[Distance]],Tabel1[[#All],[Uge]],AC$5,Tabel1[[#All],[Type]],Skemaer!$K$16)</f>
        <v>21.66</v>
      </c>
      <c r="AD15" s="53">
        <f>SUMIFS(Tabel1[[#All],[Distance]],Tabel1[[#All],[Uge]],AD$5,Tabel1[[#All],[Type]],Skemaer!$K$16)</f>
        <v>26.26</v>
      </c>
      <c r="AE15" s="53">
        <f>SUMIFS(Tabel1[[#All],[Distance]],Tabel1[[#All],[Uge]],AE$5,Tabel1[[#All],[Type]],Skemaer!$K$16)</f>
        <v>28.01</v>
      </c>
      <c r="AF15" s="53">
        <f>SUMIFS(Tabel1[[#All],[Distance]],Tabel1[[#All],[Uge]],AF$5,Tabel1[[#All],[Type]],Skemaer!$K$16)</f>
        <v>23.01</v>
      </c>
      <c r="AG15" s="53">
        <f>SUMIFS(Tabel1[[#All],[Distance]],Tabel1[[#All],[Uge]],AG$5,Tabel1[[#All],[Type]],Skemaer!$K$16)</f>
        <v>21.75</v>
      </c>
      <c r="AH15" s="53">
        <f>SUMIFS(Tabel1[[#All],[Distance]],Tabel1[[#All],[Uge]],AH$5,Tabel1[[#All],[Type]],Skemaer!$K$16)</f>
        <v>29.47</v>
      </c>
      <c r="AI15" s="53">
        <f>SUMIFS(Tabel1[[#All],[Distance]],Tabel1[[#All],[Uge]],AI$5,Tabel1[[#All],[Type]],Skemaer!$K$16)</f>
        <v>20.56</v>
      </c>
      <c r="AJ15" s="53">
        <f>SUMIFS(Tabel1[[#All],[Distance]],Tabel1[[#All],[Uge]],AJ$5,Tabel1[[#All],[Type]],Skemaer!$K$16)</f>
        <v>24.3</v>
      </c>
      <c r="AK15" s="53">
        <f>SUMIFS(Tabel1[[#All],[Distance]],Tabel1[[#All],[Uge]],AK$5,Tabel1[[#All],[Type]],Skemaer!$K$16)</f>
        <v>0</v>
      </c>
      <c r="AL15" s="53">
        <f>SUMIFS(Tabel1[[#All],[Distance]],Tabel1[[#All],[Uge]],AL$5,Tabel1[[#All],[Type]],Skemaer!$K$16)</f>
        <v>0</v>
      </c>
      <c r="AM15" s="53">
        <f>SUMIFS(Tabel1[[#All],[Distance]],Tabel1[[#All],[Uge]],AM$5,Tabel1[[#All],[Type]],Skemaer!$K$16)</f>
        <v>9.27</v>
      </c>
      <c r="AN15" s="53">
        <f>SUMIFS(Tabel1[[#All],[Distance]],Tabel1[[#All],[Uge]],AN$5,Tabel1[[#All],[Type]],Skemaer!$K$16)</f>
        <v>0</v>
      </c>
      <c r="AO15" s="53">
        <f>SUMIFS(Tabel1[[#All],[Distance]],Tabel1[[#All],[Uge]],AO$5,Tabel1[[#All],[Type]],Skemaer!$K$16)</f>
        <v>0</v>
      </c>
      <c r="AP15" s="53">
        <f>SUMIFS(Tabel1[[#All],[Distance]],Tabel1[[#All],[Uge]],AP$5,Tabel1[[#All],[Type]],Skemaer!$K$16)</f>
        <v>0</v>
      </c>
      <c r="AQ15" s="53">
        <f>SUMIFS(Tabel1[[#All],[Distance]],Tabel1[[#All],[Uge]],AQ$5,Tabel1[[#All],[Type]],Skemaer!$K$16)</f>
        <v>0</v>
      </c>
      <c r="AR15" s="53">
        <f>SUMIFS(Tabel1[[#All],[Distance]],Tabel1[[#All],[Uge]],AR$5,Tabel1[[#All],[Type]],Skemaer!$K$16)</f>
        <v>0</v>
      </c>
      <c r="AS15" s="53">
        <f>SUMIFS(Tabel1[[#All],[Distance]],Tabel1[[#All],[Uge]],AS$5,Tabel1[[#All],[Type]],Skemaer!$K$16)</f>
        <v>0</v>
      </c>
      <c r="AT15" s="53">
        <f>SUMIFS(Tabel1[[#All],[Distance]],Tabel1[[#All],[Uge]],AT$5,Tabel1[[#All],[Type]],Skemaer!$K$16)</f>
        <v>0</v>
      </c>
      <c r="AU15" s="53">
        <f>SUMIFS(Tabel1[[#All],[Distance]],Tabel1[[#All],[Uge]],AU$5,Tabel1[[#All],[Type]],Skemaer!$K$16)</f>
        <v>0</v>
      </c>
      <c r="AV15" s="53">
        <f>SUMIFS(Tabel1[[#All],[Distance]],Tabel1[[#All],[Uge]],AV$5,Tabel1[[#All],[Type]],Skemaer!$K$16)</f>
        <v>0</v>
      </c>
      <c r="AW15" s="53">
        <f>SUMIFS(Tabel1[[#All],[Distance]],Tabel1[[#All],[Uge]],AW$5,Tabel1[[#All],[Type]],Skemaer!$K$16)</f>
        <v>0</v>
      </c>
      <c r="AX15" s="53">
        <f>SUMIFS(Tabel1[[#All],[Distance]],Tabel1[[#All],[Uge]],AX$5,Tabel1[[#All],[Type]],Skemaer!$K$16)</f>
        <v>0</v>
      </c>
      <c r="AY15" s="53">
        <f>SUMIFS(Tabel1[[#All],[Distance]],Tabel1[[#All],[Uge]],AY$5,Tabel1[[#All],[Type]],Skemaer!$K$16)</f>
        <v>0</v>
      </c>
      <c r="AZ15" s="53">
        <f>SUMIFS(Tabel1[[#All],[Distance]],Tabel1[[#All],[Uge]],AZ$5,Tabel1[[#All],[Type]],Skemaer!$K$16)</f>
        <v>0</v>
      </c>
      <c r="BA15" s="53">
        <f>SUMIFS(Tabel1[[#All],[Distance]],Tabel1[[#All],[Uge]],BA$5,Tabel1[[#All],[Type]],Skemaer!$K$16)</f>
        <v>0</v>
      </c>
      <c r="BB15" s="53">
        <f>SUMIFS(Tabel1[[#All],[Distance]],Tabel1[[#All],[Uge]],BB$5,Tabel1[[#All],[Type]],Skemaer!$K$16)</f>
        <v>0</v>
      </c>
      <c r="BC15" s="53">
        <f>SUMIFS(Tabel1[[#All],[Distance]],Tabel1[[#All],[Uge]],BC$5,Tabel1[[#All],[Type]],Skemaer!$K$16)</f>
        <v>0</v>
      </c>
      <c r="BD15" s="53">
        <f>SUMIFS(Tabel1[[#All],[Distance]],Tabel1[[#All],[Uge]],BD$5,Tabel1[[#All],[Type]],Skemaer!$K$16)</f>
        <v>0</v>
      </c>
      <c r="BE15" s="53">
        <f>SUMIFS(Tabel1[[#All],[Distance]],Tabel1[[#All],[Uge]],BE$5,Tabel1[[#All],[Type]],Skemaer!$K$16)</f>
        <v>0</v>
      </c>
      <c r="BF15" s="53">
        <f>SUMIFS(Tabel1[[#All],[Distance]],Tabel1[[#All],[Uge]],BF$5,Tabel1[[#All],[Type]],Skemaer!$K$16)</f>
        <v>0</v>
      </c>
      <c r="BG15" s="53">
        <f>SUMIFS(Tabel1[[#All],[Distance]],Tabel1[[#All],[Uge]],BG$5,Tabel1[[#All],[Type]],Skemaer!$K$16)</f>
        <v>0</v>
      </c>
      <c r="BH15" s="53">
        <f>SUMIFS(Tabel1[[#All],[Distance]],Tabel1[[#All],[Uge]],BH$5,Tabel1[[#All],[Type]],Skemaer!$K$16)</f>
        <v>0</v>
      </c>
      <c r="BI15" s="53">
        <f>SUMIFS(Tabel1[[#All],[Distance]],Tabel1[[#All],[Uge]],BI$5,Tabel1[[#All],[Type]],Skemaer!$K$16)</f>
        <v>0</v>
      </c>
      <c r="BJ15" s="53">
        <f>SUMIFS(Tabel1[[#All],[Distance]],Tabel1[[#All],[Uge]],BJ$5,Tabel1[[#All],[Type]],Skemaer!$K$16)</f>
        <v>0</v>
      </c>
      <c r="BK15" s="53">
        <f>SUMIFS(Tabel1[[#All],[Distance]],Tabel1[[#All],[Uge]],BK$5,Tabel1[[#All],[Type]],Skemaer!$K$16)</f>
        <v>0</v>
      </c>
      <c r="BL15" s="53">
        <f>SUMIFS(Tabel1[[#All],[Distance]],Tabel1[[#All],[Uge]],BL$5,Tabel1[[#All],[Type]],Skemaer!$K$16)</f>
        <v>0</v>
      </c>
      <c r="BM15" s="53">
        <f>SUMIFS(Tabel1[[#All],[Distance]],Tabel1[[#All],[Uge]],BM$5,Tabel1[[#All],[Type]],Skemaer!$K$16)</f>
        <v>0</v>
      </c>
      <c r="BN15" s="53">
        <f>SUMIFS(Tabel1[[#All],[Distance]],Tabel1[[#All],[Uge]],BN$5,Tabel1[[#All],[Type]],Skemaer!$K$16)</f>
        <v>0</v>
      </c>
      <c r="BO15" s="53">
        <f>SUMIFS(Tabel1[[#All],[Distance]],Tabel1[[#All],[Uge]],BO$5,Tabel1[[#All],[Type]],Skemaer!$K$16)</f>
        <v>0</v>
      </c>
      <c r="BP15" s="53">
        <f>SUMIFS(Tabel1[[#All],[Distance]],Tabel1[[#All],[Uge]],BP$5,Tabel1[[#All],[Type]],Skemaer!$K$16)</f>
        <v>0</v>
      </c>
      <c r="BQ15" s="53">
        <f>SUMIFS(Tabel1[[#All],[Distance]],Tabel1[[#All],[Uge]],BQ$5,Tabel1[[#All],[Type]],Skemaer!$K$16)</f>
        <v>0</v>
      </c>
      <c r="BR15" s="53">
        <f>SUMIFS(Tabel1[[#All],[Distance]],Tabel1[[#All],[Uge]],BR$5,Tabel1[[#All],[Type]],Skemaer!$K$16)</f>
        <v>0</v>
      </c>
      <c r="BS15" s="53"/>
    </row>
    <row r="16" spans="1:71" x14ac:dyDescent="0.3">
      <c r="A16" t="s">
        <v>26</v>
      </c>
      <c r="B16">
        <v>11</v>
      </c>
      <c r="C16" s="2">
        <f>SUMIF(Tabel1[[#All],[Mdr.]],B16,Tabel1[[#All],[Distance]])</f>
        <v>0</v>
      </c>
      <c r="D16" s="35">
        <f>SUMIFS(Tabel1[[#All],[Distance]],Tabel1[[#All],[Mdr.]],$B16,Tabel1[[#All],[Type]],Skemaer!$K$16)</f>
        <v>0</v>
      </c>
      <c r="E16" s="35">
        <f>SUMIFS(Tabel1[[#All],[Distance]],Tabel1[[#All],[Mdr.]],$B16,Tabel1[[#All],[Type]],Skemaer!$K$17)</f>
        <v>0</v>
      </c>
      <c r="F16" s="35">
        <f>SUMIFS(Tabel1[[#All],[Distance]],Tabel1[[#All],[Mdr.]],$B16,Tabel1[[#All],[Type]],Skemaer!$K$18)</f>
        <v>0</v>
      </c>
      <c r="G16" s="35">
        <f>SUMIFS(Tabel1[[#All],[Distance]],Tabel1[[#All],[Mdr.]],$B16,Tabel1[[#All],[Type]],Skemaer!$K$19)</f>
        <v>0</v>
      </c>
      <c r="H16" s="35">
        <f>SUMIFS(Tabel1[[#All],[Distance]],Tabel1[[#All],[Mdr.]],$B16,Tabel1[[#All],[Type]],Skemaer!$K$20)</f>
        <v>0</v>
      </c>
      <c r="J16" s="47" t="s">
        <v>3</v>
      </c>
      <c r="K16" s="47" t="s">
        <v>15</v>
      </c>
      <c r="L16" s="48">
        <f>SUMIF(Tabel1[[#All],[Type]],K16,Tabel1[[#All],[Distance]])</f>
        <v>364.39</v>
      </c>
      <c r="P16" s="54" t="str">
        <f>Skemaer!$K$17</f>
        <v>I</v>
      </c>
      <c r="Q16" s="52">
        <f t="shared" si="2"/>
        <v>334.42</v>
      </c>
      <c r="R16" s="53">
        <f>SUMIFS(Tabel1[[#All],[Distance]],Tabel1[[#All],[Uge]],R$5,Tabel1[[#All],[Type]],Skemaer!$K$17)</f>
        <v>0</v>
      </c>
      <c r="S16" s="53">
        <f>SUMIFS(Tabel1[[#All],[Distance]],Tabel1[[#All],[Uge]],S$5,Tabel1[[#All],[Type]],Skemaer!$K$17)</f>
        <v>0</v>
      </c>
      <c r="T16" s="53">
        <f>SUMIFS(Tabel1[[#All],[Distance]],Tabel1[[#All],[Uge]],T$5,Tabel1[[#All],[Type]],Skemaer!$K$17)</f>
        <v>0</v>
      </c>
      <c r="U16" s="53">
        <f>SUMIFS(Tabel1[[#All],[Distance]],Tabel1[[#All],[Uge]],U$5,Tabel1[[#All],[Type]],Skemaer!$K$17)</f>
        <v>0</v>
      </c>
      <c r="V16" s="53">
        <f>SUMIFS(Tabel1[[#All],[Distance]],Tabel1[[#All],[Uge]],V$5,Tabel1[[#All],[Type]],Skemaer!$K$17)+V15</f>
        <v>21.1</v>
      </c>
      <c r="W16" s="53">
        <f>SUMIFS(Tabel1[[#All],[Distance]],Tabel1[[#All],[Uge]],W$5,Tabel1[[#All],[Type]],Skemaer!$K$17)+W15</f>
        <v>23.15</v>
      </c>
      <c r="X16" s="53">
        <f>SUMIFS(Tabel1[[#All],[Distance]],Tabel1[[#All],[Uge]],X$5,Tabel1[[#All],[Type]],Skemaer!$K$17)+X15</f>
        <v>22.08</v>
      </c>
      <c r="Y16" s="53">
        <f>SUMIFS(Tabel1[[#All],[Distance]],Tabel1[[#All],[Uge]],Y$5,Tabel1[[#All],[Type]],Skemaer!$K$17)+Y15</f>
        <v>24.12</v>
      </c>
      <c r="Z16" s="53">
        <f>SUMIFS(Tabel1[[#All],[Distance]],Tabel1[[#All],[Uge]],Z$5,Tabel1[[#All],[Type]],Skemaer!$K$17)+Z15</f>
        <v>0</v>
      </c>
      <c r="AA16" s="53">
        <f>SUMIFS(Tabel1[[#All],[Distance]],Tabel1[[#All],[Uge]],AA$5,Tabel1[[#All],[Type]],Skemaer!$K$17)+AA15</f>
        <v>24.47</v>
      </c>
      <c r="AB16" s="53">
        <f>SUMIFS(Tabel1[[#All],[Distance]],Tabel1[[#All],[Uge]],AB$5,Tabel1[[#All],[Type]],Skemaer!$K$17)+AB15</f>
        <v>10.050000000000001</v>
      </c>
      <c r="AC16" s="53">
        <f>SUMIFS(Tabel1[[#All],[Distance]],Tabel1[[#All],[Uge]],AC$5,Tabel1[[#All],[Type]],Skemaer!$K$17)+AC15</f>
        <v>21.66</v>
      </c>
      <c r="AD16" s="53">
        <f>SUMIFS(Tabel1[[#All],[Distance]],Tabel1[[#All],[Uge]],AD$5,Tabel1[[#All],[Type]],Skemaer!$K$17)+AD15</f>
        <v>26.26</v>
      </c>
      <c r="AE16" s="53">
        <f>SUMIFS(Tabel1[[#All],[Distance]],Tabel1[[#All],[Uge]],AE$5,Tabel1[[#All],[Type]],Skemaer!$K$17)+AE15</f>
        <v>28.01</v>
      </c>
      <c r="AF16" s="53">
        <f>SUMIFS(Tabel1[[#All],[Distance]],Tabel1[[#All],[Uge]],AF$5,Tabel1[[#All],[Type]],Skemaer!$K$17)+AF15</f>
        <v>23.01</v>
      </c>
      <c r="AG16" s="53">
        <f>SUMIFS(Tabel1[[#All],[Distance]],Tabel1[[#All],[Uge]],AG$5,Tabel1[[#All],[Type]],Skemaer!$K$17)+AG15</f>
        <v>21.75</v>
      </c>
      <c r="AH16" s="53">
        <f>SUMIFS(Tabel1[[#All],[Distance]],Tabel1[[#All],[Uge]],AH$5,Tabel1[[#All],[Type]],Skemaer!$K$17)+AH15</f>
        <v>29.47</v>
      </c>
      <c r="AI16" s="53">
        <f>SUMIFS(Tabel1[[#All],[Distance]],Tabel1[[#All],[Uge]],AI$5,Tabel1[[#All],[Type]],Skemaer!$K$17)+AI15</f>
        <v>20.56</v>
      </c>
      <c r="AJ16" s="53">
        <f>SUMIFS(Tabel1[[#All],[Distance]],Tabel1[[#All],[Uge]],AJ$5,Tabel1[[#All],[Type]],Skemaer!$K$17)+AJ15</f>
        <v>24.3</v>
      </c>
      <c r="AK16" s="53">
        <f>SUMIFS(Tabel1[[#All],[Distance]],Tabel1[[#All],[Uge]],AK$5,Tabel1[[#All],[Type]],Skemaer!$K$17)+AK15</f>
        <v>0</v>
      </c>
      <c r="AL16" s="53">
        <f>SUMIFS(Tabel1[[#All],[Distance]],Tabel1[[#All],[Uge]],AL$5,Tabel1[[#All],[Type]],Skemaer!$K$17)+AL15</f>
        <v>0</v>
      </c>
      <c r="AM16" s="53">
        <f>SUMIFS(Tabel1[[#All],[Distance]],Tabel1[[#All],[Uge]],AM$5,Tabel1[[#All],[Type]],Skemaer!$K$17)+AM15</f>
        <v>9.27</v>
      </c>
      <c r="AN16" s="53">
        <f>SUMIFS(Tabel1[[#All],[Distance]],Tabel1[[#All],[Uge]],AN$5,Tabel1[[#All],[Type]],Skemaer!$K$17)+AN15</f>
        <v>0</v>
      </c>
      <c r="AO16" s="53">
        <f>SUMIFS(Tabel1[[#All],[Distance]],Tabel1[[#All],[Uge]],AO$5,Tabel1[[#All],[Type]],Skemaer!$K$17)+AO15</f>
        <v>0</v>
      </c>
      <c r="AP16" s="53">
        <f>SUMIFS(Tabel1[[#All],[Distance]],Tabel1[[#All],[Uge]],AP$5,Tabel1[[#All],[Type]],Skemaer!$K$17)+AP15</f>
        <v>0</v>
      </c>
      <c r="AQ16" s="53">
        <f>SUMIFS(Tabel1[[#All],[Distance]],Tabel1[[#All],[Uge]],AQ$5,Tabel1[[#All],[Type]],Skemaer!$K$17)+AQ15</f>
        <v>0</v>
      </c>
      <c r="AR16" s="53">
        <f>SUMIFS(Tabel1[[#All],[Distance]],Tabel1[[#All],[Uge]],AR$5,Tabel1[[#All],[Type]],Skemaer!$K$17)+AR15</f>
        <v>0</v>
      </c>
      <c r="AS16" s="53">
        <f>SUMIFS(Tabel1[[#All],[Distance]],Tabel1[[#All],[Uge]],AS$5,Tabel1[[#All],[Type]],Skemaer!$K$17)+AS15</f>
        <v>5.16</v>
      </c>
      <c r="AT16" s="53">
        <f>SUMIFS(Tabel1[[#All],[Distance]],Tabel1[[#All],[Uge]],AT$5,Tabel1[[#All],[Type]],Skemaer!$K$17)+AT15</f>
        <v>0</v>
      </c>
      <c r="AU16" s="53">
        <f>SUMIFS(Tabel1[[#All],[Distance]],Tabel1[[#All],[Uge]],AU$5,Tabel1[[#All],[Type]],Skemaer!$K$17)+AU15</f>
        <v>0</v>
      </c>
      <c r="AV16" s="53">
        <f>SUMIFS(Tabel1[[#All],[Distance]],Tabel1[[#All],[Uge]],AV$5,Tabel1[[#All],[Type]],Skemaer!$K$17)+AV15</f>
        <v>0</v>
      </c>
      <c r="AW16" s="53">
        <f>SUMIFS(Tabel1[[#All],[Distance]],Tabel1[[#All],[Uge]],AW$5,Tabel1[[#All],[Type]],Skemaer!$K$17)+AW15</f>
        <v>0</v>
      </c>
      <c r="AX16" s="53">
        <f>SUMIFS(Tabel1[[#All],[Distance]],Tabel1[[#All],[Uge]],AX$5,Tabel1[[#All],[Type]],Skemaer!$K$17)+AX15</f>
        <v>0</v>
      </c>
      <c r="AY16" s="53">
        <f>SUMIFS(Tabel1[[#All],[Distance]],Tabel1[[#All],[Uge]],AY$5,Tabel1[[#All],[Type]],Skemaer!$K$17)+AY15</f>
        <v>0</v>
      </c>
      <c r="AZ16" s="53">
        <f>SUMIFS(Tabel1[[#All],[Distance]],Tabel1[[#All],[Uge]],AZ$5,Tabel1[[#All],[Type]],Skemaer!$K$17)+AZ15</f>
        <v>0</v>
      </c>
      <c r="BA16" s="53">
        <f>SUMIFS(Tabel1[[#All],[Distance]],Tabel1[[#All],[Uge]],BA$5,Tabel1[[#All],[Type]],Skemaer!$K$17)+BA15</f>
        <v>0</v>
      </c>
      <c r="BB16" s="53">
        <f>SUMIFS(Tabel1[[#All],[Distance]],Tabel1[[#All],[Uge]],BB$5,Tabel1[[#All],[Type]],Skemaer!$K$17)+BB15</f>
        <v>0</v>
      </c>
      <c r="BC16" s="53">
        <f>SUMIFS(Tabel1[[#All],[Distance]],Tabel1[[#All],[Uge]],BC$5,Tabel1[[#All],[Type]],Skemaer!$K$17)+BC15</f>
        <v>0</v>
      </c>
      <c r="BD16" s="53">
        <f>SUMIFS(Tabel1[[#All],[Distance]],Tabel1[[#All],[Uge]],BD$5,Tabel1[[#All],[Type]],Skemaer!$K$17)+BD15</f>
        <v>0</v>
      </c>
      <c r="BE16" s="53">
        <f>SUMIFS(Tabel1[[#All],[Distance]],Tabel1[[#All],[Uge]],BE$5,Tabel1[[#All],[Type]],Skemaer!$K$17)+BE15</f>
        <v>0</v>
      </c>
      <c r="BF16" s="53">
        <f>SUMIFS(Tabel1[[#All],[Distance]],Tabel1[[#All],[Uge]],BF$5,Tabel1[[#All],[Type]],Skemaer!$K$17)+BF15</f>
        <v>0</v>
      </c>
      <c r="BG16" s="53">
        <f>SUMIFS(Tabel1[[#All],[Distance]],Tabel1[[#All],[Uge]],BG$5,Tabel1[[#All],[Type]],Skemaer!$K$17)+BG15</f>
        <v>0</v>
      </c>
      <c r="BH16" s="53">
        <f>SUMIFS(Tabel1[[#All],[Distance]],Tabel1[[#All],[Uge]],BH$5,Tabel1[[#All],[Type]],Skemaer!$K$17)+BH15</f>
        <v>0</v>
      </c>
      <c r="BI16" s="53">
        <f>SUMIFS(Tabel1[[#All],[Distance]],Tabel1[[#All],[Uge]],BI$5,Tabel1[[#All],[Type]],Skemaer!$K$17)+BI15</f>
        <v>0</v>
      </c>
      <c r="BJ16" s="53">
        <f>SUMIFS(Tabel1[[#All],[Distance]],Tabel1[[#All],[Uge]],BJ$5,Tabel1[[#All],[Type]],Skemaer!$K$17)+BJ15</f>
        <v>0</v>
      </c>
      <c r="BK16" s="53">
        <f>SUMIFS(Tabel1[[#All],[Distance]],Tabel1[[#All],[Uge]],BK$5,Tabel1[[#All],[Type]],Skemaer!$K$17)+BK15</f>
        <v>0</v>
      </c>
      <c r="BL16" s="53">
        <f>SUMIFS(Tabel1[[#All],[Distance]],Tabel1[[#All],[Uge]],BL$5,Tabel1[[#All],[Type]],Skemaer!$K$17)+BL15</f>
        <v>0</v>
      </c>
      <c r="BM16" s="53">
        <f>SUMIFS(Tabel1[[#All],[Distance]],Tabel1[[#All],[Uge]],BM$5,Tabel1[[#All],[Type]],Skemaer!$K$17)+BM15</f>
        <v>0</v>
      </c>
      <c r="BN16" s="53">
        <f>SUMIFS(Tabel1[[#All],[Distance]],Tabel1[[#All],[Uge]],BN$5,Tabel1[[#All],[Type]],Skemaer!$K$17)+BN15</f>
        <v>0</v>
      </c>
      <c r="BO16" s="53">
        <f>SUMIFS(Tabel1[[#All],[Distance]],Tabel1[[#All],[Uge]],BO$5,Tabel1[[#All],[Type]],Skemaer!$K$17)+BO15</f>
        <v>0</v>
      </c>
      <c r="BP16" s="53">
        <f>SUMIFS(Tabel1[[#All],[Distance]],Tabel1[[#All],[Uge]],BP$5,Tabel1[[#All],[Type]],Skemaer!$K$17)+BP15</f>
        <v>0</v>
      </c>
      <c r="BQ16" s="53">
        <f>SUMIFS(Tabel1[[#All],[Distance]],Tabel1[[#All],[Uge]],BQ$5,Tabel1[[#All],[Type]],Skemaer!$K$17)+BQ15</f>
        <v>0</v>
      </c>
      <c r="BR16" s="53">
        <f>SUMIFS(Tabel1[[#All],[Distance]],Tabel1[[#All],[Uge]],BR$5,Tabel1[[#All],[Type]],Skemaer!$K$17)+BR15</f>
        <v>0</v>
      </c>
      <c r="BS16" s="53"/>
    </row>
    <row r="17" spans="1:71" x14ac:dyDescent="0.3">
      <c r="A17" t="s">
        <v>27</v>
      </c>
      <c r="B17">
        <v>12</v>
      </c>
      <c r="C17" s="2">
        <f>SUMIF(Tabel1[[#All],[Mdr.]],B17,Tabel1[[#All],[Distance]])</f>
        <v>0</v>
      </c>
      <c r="D17" s="35">
        <f>SUMIFS(Tabel1[[#All],[Distance]],Tabel1[[#All],[Mdr.]],$B17,Tabel1[[#All],[Type]],Skemaer!$K$16)</f>
        <v>0</v>
      </c>
      <c r="E17" s="35">
        <f>SUMIFS(Tabel1[[#All],[Distance]],Tabel1[[#All],[Mdr.]],$B17,Tabel1[[#All],[Type]],Skemaer!$K$17)</f>
        <v>0</v>
      </c>
      <c r="F17" s="35">
        <f>SUMIFS(Tabel1[[#All],[Distance]],Tabel1[[#All],[Mdr.]],$B17,Tabel1[[#All],[Type]],Skemaer!$K$18)</f>
        <v>0</v>
      </c>
      <c r="G17" s="35">
        <f>SUMIFS(Tabel1[[#All],[Distance]],Tabel1[[#All],[Mdr.]],$B17,Tabel1[[#All],[Type]],Skemaer!$K$19)</f>
        <v>0</v>
      </c>
      <c r="H17" s="35">
        <f>SUMIFS(Tabel1[[#All],[Distance]],Tabel1[[#All],[Mdr.]],$B17,Tabel1[[#All],[Type]],Skemaer!$K$20)</f>
        <v>0</v>
      </c>
      <c r="J17" s="47" t="s">
        <v>11</v>
      </c>
      <c r="K17" s="47" t="s">
        <v>12</v>
      </c>
      <c r="L17" s="48">
        <f>SUMIF(Tabel1[[#All],[Type]],K17,Tabel1[[#All],[Distance]])</f>
        <v>5.16</v>
      </c>
      <c r="P17" s="54" t="str">
        <f>Skemaer!$K$18</f>
        <v>R</v>
      </c>
      <c r="Q17" s="52">
        <f t="shared" si="2"/>
        <v>584.24</v>
      </c>
      <c r="R17" s="53">
        <f>SUMIFS(Tabel1[[#All],[Distance]],Tabel1[[#All],[Uge]],R$5,Tabel1[[#All],[Type]],Skemaer!$K$18)</f>
        <v>0</v>
      </c>
      <c r="S17" s="53">
        <f>SUMIFS(Tabel1[[#All],[Distance]],Tabel1[[#All],[Uge]],S$5,Tabel1[[#All],[Type]],Skemaer!$K$18)</f>
        <v>20.28</v>
      </c>
      <c r="T17" s="53">
        <f>SUMIFS(Tabel1[[#All],[Distance]],Tabel1[[#All],[Uge]],T$5,Tabel1[[#All],[Type]],Skemaer!$K$18)</f>
        <v>10.25</v>
      </c>
      <c r="U17" s="53">
        <f>SUMIFS(Tabel1[[#All],[Distance]],Tabel1[[#All],[Uge]],U$5,Tabel1[[#All],[Type]],Skemaer!$K$18)</f>
        <v>0</v>
      </c>
      <c r="V17" s="53">
        <f>SUMIFS(Tabel1[[#All],[Distance]],Tabel1[[#All],[Uge]],V$5,Tabel1[[#All],[Type]],Skemaer!$K$18)+V16</f>
        <v>41.800000000000004</v>
      </c>
      <c r="W17" s="53">
        <f>SUMIFS(Tabel1[[#All],[Distance]],Tabel1[[#All],[Uge]],W$5,Tabel1[[#All],[Type]],Skemaer!$K$18)+W16</f>
        <v>34.159999999999997</v>
      </c>
      <c r="X17" s="53">
        <f>SUMIFS(Tabel1[[#All],[Distance]],Tabel1[[#All],[Uge]],X$5,Tabel1[[#All],[Type]],Skemaer!$K$18)+X16</f>
        <v>32.47</v>
      </c>
      <c r="Y17" s="53">
        <f>SUMIFS(Tabel1[[#All],[Distance]],Tabel1[[#All],[Uge]],Y$5,Tabel1[[#All],[Type]],Skemaer!$K$18)+Y16</f>
        <v>24.12</v>
      </c>
      <c r="Z17" s="53">
        <f>SUMIFS(Tabel1[[#All],[Distance]],Tabel1[[#All],[Uge]],Z$5,Tabel1[[#All],[Type]],Skemaer!$K$18)+Z16</f>
        <v>10.35</v>
      </c>
      <c r="AA17" s="53">
        <f>SUMIFS(Tabel1[[#All],[Distance]],Tabel1[[#All],[Uge]],AA$5,Tabel1[[#All],[Type]],Skemaer!$K$18)+AA16</f>
        <v>24.47</v>
      </c>
      <c r="AB17" s="53">
        <f>SUMIFS(Tabel1[[#All],[Distance]],Tabel1[[#All],[Uge]],AB$5,Tabel1[[#All],[Type]],Skemaer!$K$18)+AB16</f>
        <v>10.050000000000001</v>
      </c>
      <c r="AC17" s="53">
        <f>SUMIFS(Tabel1[[#All],[Distance]],Tabel1[[#All],[Uge]],AC$5,Tabel1[[#All],[Type]],Skemaer!$K$18)+AC16</f>
        <v>21.66</v>
      </c>
      <c r="AD17" s="53">
        <f>SUMIFS(Tabel1[[#All],[Distance]],Tabel1[[#All],[Uge]],AD$5,Tabel1[[#All],[Type]],Skemaer!$K$18)+AD16</f>
        <v>26.26</v>
      </c>
      <c r="AE17" s="53">
        <f>SUMIFS(Tabel1[[#All],[Distance]],Tabel1[[#All],[Uge]],AE$5,Tabel1[[#All],[Type]],Skemaer!$K$18)+AE16</f>
        <v>28.01</v>
      </c>
      <c r="AF17" s="53">
        <f>SUMIFS(Tabel1[[#All],[Distance]],Tabel1[[#All],[Uge]],AF$5,Tabel1[[#All],[Type]],Skemaer!$K$18)+AF16</f>
        <v>23.01</v>
      </c>
      <c r="AG17" s="53">
        <f>SUMIFS(Tabel1[[#All],[Distance]],Tabel1[[#All],[Uge]],AG$5,Tabel1[[#All],[Type]],Skemaer!$K$18)+AG16</f>
        <v>21.75</v>
      </c>
      <c r="AH17" s="53">
        <f>SUMIFS(Tabel1[[#All],[Distance]],Tabel1[[#All],[Uge]],AH$5,Tabel1[[#All],[Type]],Skemaer!$K$18)+AH16</f>
        <v>38.409999999999997</v>
      </c>
      <c r="AI17" s="53">
        <f>SUMIFS(Tabel1[[#All],[Distance]],Tabel1[[#All],[Uge]],AI$5,Tabel1[[#All],[Type]],Skemaer!$K$18)+AI16</f>
        <v>20.56</v>
      </c>
      <c r="AJ17" s="53">
        <f>SUMIFS(Tabel1[[#All],[Distance]],Tabel1[[#All],[Uge]],AJ$5,Tabel1[[#All],[Type]],Skemaer!$K$18)+AJ16</f>
        <v>24.3</v>
      </c>
      <c r="AK17" s="53">
        <f>SUMIFS(Tabel1[[#All],[Distance]],Tabel1[[#All],[Uge]],AK$5,Tabel1[[#All],[Type]],Skemaer!$K$18)+AK16</f>
        <v>35.86</v>
      </c>
      <c r="AL17" s="53">
        <f>SUMIFS(Tabel1[[#All],[Distance]],Tabel1[[#All],[Uge]],AL$5,Tabel1[[#All],[Type]],Skemaer!$K$18)+AL16</f>
        <v>6.3</v>
      </c>
      <c r="AM17" s="53">
        <f>SUMIFS(Tabel1[[#All],[Distance]],Tabel1[[#All],[Uge]],AM$5,Tabel1[[#All],[Type]],Skemaer!$K$18)+AM16</f>
        <v>9.27</v>
      </c>
      <c r="AN17" s="53">
        <f>SUMIFS(Tabel1[[#All],[Distance]],Tabel1[[#All],[Uge]],AN$5,Tabel1[[#All],[Type]],Skemaer!$K$18)+AN16</f>
        <v>10.130000000000001</v>
      </c>
      <c r="AO17" s="53">
        <f>SUMIFS(Tabel1[[#All],[Distance]],Tabel1[[#All],[Uge]],AO$5,Tabel1[[#All],[Type]],Skemaer!$K$18)+AO16</f>
        <v>5.54</v>
      </c>
      <c r="AP17" s="53">
        <f>SUMIFS(Tabel1[[#All],[Distance]],Tabel1[[#All],[Uge]],AP$5,Tabel1[[#All],[Type]],Skemaer!$K$18)+AP16</f>
        <v>5.19</v>
      </c>
      <c r="AQ17" s="53">
        <f>SUMIFS(Tabel1[[#All],[Distance]],Tabel1[[#All],[Uge]],AQ$5,Tabel1[[#All],[Type]],Skemaer!$K$18)+AQ16</f>
        <v>0</v>
      </c>
      <c r="AR17" s="53">
        <f>SUMIFS(Tabel1[[#All],[Distance]],Tabel1[[#All],[Uge]],AR$5,Tabel1[[#All],[Type]],Skemaer!$K$18)+AR16</f>
        <v>13.57</v>
      </c>
      <c r="AS17" s="53">
        <f>SUMIFS(Tabel1[[#All],[Distance]],Tabel1[[#All],[Uge]],AS$5,Tabel1[[#All],[Type]],Skemaer!$K$18)+AS16</f>
        <v>5.16</v>
      </c>
      <c r="AT17" s="53">
        <f>SUMIFS(Tabel1[[#All],[Distance]],Tabel1[[#All],[Uge]],AT$5,Tabel1[[#All],[Type]],Skemaer!$K$18)+AT16</f>
        <v>7.01</v>
      </c>
      <c r="AU17" s="53">
        <f>SUMIFS(Tabel1[[#All],[Distance]],Tabel1[[#All],[Uge]],AU$5,Tabel1[[#All],[Type]],Skemaer!$K$18)+AU16</f>
        <v>5.22</v>
      </c>
      <c r="AV17" s="53">
        <f>SUMIFS(Tabel1[[#All],[Distance]],Tabel1[[#All],[Uge]],AV$5,Tabel1[[#All],[Type]],Skemaer!$K$18)+AV16</f>
        <v>0</v>
      </c>
      <c r="AW17" s="53">
        <f>SUMIFS(Tabel1[[#All],[Distance]],Tabel1[[#All],[Uge]],AW$5,Tabel1[[#All],[Type]],Skemaer!$K$18)+AW16</f>
        <v>30.13</v>
      </c>
      <c r="AX17" s="53">
        <f>SUMIFS(Tabel1[[#All],[Distance]],Tabel1[[#All],[Uge]],AX$5,Tabel1[[#All],[Type]],Skemaer!$K$18)+AX16</f>
        <v>0</v>
      </c>
      <c r="AY17" s="53">
        <f>SUMIFS(Tabel1[[#All],[Distance]],Tabel1[[#All],[Uge]],AY$5,Tabel1[[#All],[Type]],Skemaer!$K$18)+AY16</f>
        <v>19.919999999999998</v>
      </c>
      <c r="AZ17" s="53">
        <f>SUMIFS(Tabel1[[#All],[Distance]],Tabel1[[#All],[Uge]],AZ$5,Tabel1[[#All],[Type]],Skemaer!$K$18)+AZ16</f>
        <v>0</v>
      </c>
      <c r="BA17" s="53">
        <f>SUMIFS(Tabel1[[#All],[Distance]],Tabel1[[#All],[Uge]],BA$5,Tabel1[[#All],[Type]],Skemaer!$K$18)+BA16</f>
        <v>0</v>
      </c>
      <c r="BB17" s="53">
        <f>SUMIFS(Tabel1[[#All],[Distance]],Tabel1[[#All],[Uge]],BB$5,Tabel1[[#All],[Type]],Skemaer!$K$18)+BB16</f>
        <v>8.4600000000000009</v>
      </c>
      <c r="BC17" s="53">
        <f>SUMIFS(Tabel1[[#All],[Distance]],Tabel1[[#All],[Uge]],BC$5,Tabel1[[#All],[Type]],Skemaer!$K$18)+BC16</f>
        <v>4.08</v>
      </c>
      <c r="BD17" s="53">
        <f>SUMIFS(Tabel1[[#All],[Distance]],Tabel1[[#All],[Uge]],BD$5,Tabel1[[#All],[Type]],Skemaer!$K$18)+BD16</f>
        <v>0</v>
      </c>
      <c r="BE17" s="53">
        <f>SUMIFS(Tabel1[[#All],[Distance]],Tabel1[[#All],[Uge]],BE$5,Tabel1[[#All],[Type]],Skemaer!$K$18)+BE16</f>
        <v>6.49</v>
      </c>
      <c r="BF17" s="53">
        <f>SUMIFS(Tabel1[[#All],[Distance]],Tabel1[[#All],[Uge]],BF$5,Tabel1[[#All],[Type]],Skemaer!$K$18)+BF16</f>
        <v>0</v>
      </c>
      <c r="BG17" s="53">
        <f>SUMIFS(Tabel1[[#All],[Distance]],Tabel1[[#All],[Uge]],BG$5,Tabel1[[#All],[Type]],Skemaer!$K$18)+BG16</f>
        <v>0</v>
      </c>
      <c r="BH17" s="53">
        <f>SUMIFS(Tabel1[[#All],[Distance]],Tabel1[[#All],[Uge]],BH$5,Tabel1[[#All],[Type]],Skemaer!$K$18)+BH16</f>
        <v>0</v>
      </c>
      <c r="BI17" s="53">
        <f>SUMIFS(Tabel1[[#All],[Distance]],Tabel1[[#All],[Uge]],BI$5,Tabel1[[#All],[Type]],Skemaer!$K$18)+BI16</f>
        <v>0</v>
      </c>
      <c r="BJ17" s="53">
        <f>SUMIFS(Tabel1[[#All],[Distance]],Tabel1[[#All],[Uge]],BJ$5,Tabel1[[#All],[Type]],Skemaer!$K$18)+BJ16</f>
        <v>0</v>
      </c>
      <c r="BK17" s="53">
        <f>SUMIFS(Tabel1[[#All],[Distance]],Tabel1[[#All],[Uge]],BK$5,Tabel1[[#All],[Type]],Skemaer!$K$18)+BK16</f>
        <v>0</v>
      </c>
      <c r="BL17" s="53">
        <f>SUMIFS(Tabel1[[#All],[Distance]],Tabel1[[#All],[Uge]],BL$5,Tabel1[[#All],[Type]],Skemaer!$K$18)+BL16</f>
        <v>0</v>
      </c>
      <c r="BM17" s="53">
        <f>SUMIFS(Tabel1[[#All],[Distance]],Tabel1[[#All],[Uge]],BM$5,Tabel1[[#All],[Type]],Skemaer!$K$18)+BM16</f>
        <v>0</v>
      </c>
      <c r="BN17" s="53">
        <f>SUMIFS(Tabel1[[#All],[Distance]],Tabel1[[#All],[Uge]],BN$5,Tabel1[[#All],[Type]],Skemaer!$K$18)+BN16</f>
        <v>0</v>
      </c>
      <c r="BO17" s="53">
        <f>SUMIFS(Tabel1[[#All],[Distance]],Tabel1[[#All],[Uge]],BO$5,Tabel1[[#All],[Type]],Skemaer!$K$18)+BO16</f>
        <v>0</v>
      </c>
      <c r="BP17" s="53">
        <f>SUMIFS(Tabel1[[#All],[Distance]],Tabel1[[#All],[Uge]],BP$5,Tabel1[[#All],[Type]],Skemaer!$K$18)+BP16</f>
        <v>0</v>
      </c>
      <c r="BQ17" s="53">
        <f>SUMIFS(Tabel1[[#All],[Distance]],Tabel1[[#All],[Uge]],BQ$5,Tabel1[[#All],[Type]],Skemaer!$K$18)+BQ16</f>
        <v>0</v>
      </c>
      <c r="BR17" s="53">
        <f>SUMIFS(Tabel1[[#All],[Distance]],Tabel1[[#All],[Uge]],BR$5,Tabel1[[#All],[Type]],Skemaer!$K$18)+BR16</f>
        <v>0</v>
      </c>
      <c r="BS17" s="53"/>
    </row>
    <row r="18" spans="1:71" x14ac:dyDescent="0.3">
      <c r="A18" s="1" t="s">
        <v>29</v>
      </c>
      <c r="B18" s="1"/>
      <c r="C18" s="32">
        <f t="shared" ref="C18:H18" si="3">SUM(C6:C17)</f>
        <v>1940.6</v>
      </c>
      <c r="D18" s="36">
        <f t="shared" si="3"/>
        <v>364.39</v>
      </c>
      <c r="E18" s="36">
        <f t="shared" si="3"/>
        <v>5.16</v>
      </c>
      <c r="F18" s="36">
        <f t="shared" si="3"/>
        <v>249.82000000000002</v>
      </c>
      <c r="G18" s="36">
        <f t="shared" si="3"/>
        <v>0</v>
      </c>
      <c r="H18" s="36">
        <f t="shared" si="3"/>
        <v>1321.23</v>
      </c>
      <c r="J18" s="47" t="s">
        <v>13</v>
      </c>
      <c r="K18" s="47" t="s">
        <v>14</v>
      </c>
      <c r="L18" s="48">
        <f>SUMIF(Tabel1[[#All],[Type]],K18,Tabel1[[#All],[Distance]])</f>
        <v>249.81999999999996</v>
      </c>
      <c r="P18" s="54" t="str">
        <f>Skemaer!$K$19</f>
        <v>T</v>
      </c>
      <c r="Q18" s="52">
        <f t="shared" si="2"/>
        <v>553.71000000000015</v>
      </c>
      <c r="R18" s="53">
        <f>SUMIFS(Tabel1[[#All],[Distance]],Tabel1[[#All],[Uge]],R$5,Tabel1[[#All],[Type]],Skemaer!$K$19)</f>
        <v>0</v>
      </c>
      <c r="S18" s="53">
        <f>SUMIFS(Tabel1[[#All],[Distance]],Tabel1[[#All],[Uge]],S$5,Tabel1[[#All],[Type]],Skemaer!$K$19)</f>
        <v>0</v>
      </c>
      <c r="T18" s="53">
        <f>SUMIFS(Tabel1[[#All],[Distance]],Tabel1[[#All],[Uge]],T$5,Tabel1[[#All],[Type]],Skemaer!$K$19)</f>
        <v>0</v>
      </c>
      <c r="U18" s="53">
        <f>SUMIFS(Tabel1[[#All],[Distance]],Tabel1[[#All],[Uge]],U$5,Tabel1[[#All],[Type]],Skemaer!$K$19)</f>
        <v>0</v>
      </c>
      <c r="V18" s="53">
        <f>SUMIFS(Tabel1[[#All],[Distance]],Tabel1[[#All],[Uge]],V$5,Tabel1[[#All],[Type]],Skemaer!$K$19)+V17</f>
        <v>41.800000000000004</v>
      </c>
      <c r="W18" s="53">
        <f>SUMIFS(Tabel1[[#All],[Distance]],Tabel1[[#All],[Uge]],W$5,Tabel1[[#All],[Type]],Skemaer!$K$19)+W17</f>
        <v>34.159999999999997</v>
      </c>
      <c r="X18" s="53">
        <f>SUMIFS(Tabel1[[#All],[Distance]],Tabel1[[#All],[Uge]],X$5,Tabel1[[#All],[Type]],Skemaer!$K$19)+X17</f>
        <v>32.47</v>
      </c>
      <c r="Y18" s="53">
        <f>SUMIFS(Tabel1[[#All],[Distance]],Tabel1[[#All],[Uge]],Y$5,Tabel1[[#All],[Type]],Skemaer!$K$19)+Y17</f>
        <v>24.12</v>
      </c>
      <c r="Z18" s="53">
        <f>SUMIFS(Tabel1[[#All],[Distance]],Tabel1[[#All],[Uge]],Z$5,Tabel1[[#All],[Type]],Skemaer!$K$19)+Z17</f>
        <v>10.35</v>
      </c>
      <c r="AA18" s="53">
        <f>SUMIFS(Tabel1[[#All],[Distance]],Tabel1[[#All],[Uge]],AA$5,Tabel1[[#All],[Type]],Skemaer!$K$19)+AA17</f>
        <v>24.47</v>
      </c>
      <c r="AB18" s="53">
        <f>SUMIFS(Tabel1[[#All],[Distance]],Tabel1[[#All],[Uge]],AB$5,Tabel1[[#All],[Type]],Skemaer!$K$19)+AB17</f>
        <v>10.050000000000001</v>
      </c>
      <c r="AC18" s="53">
        <f>SUMIFS(Tabel1[[#All],[Distance]],Tabel1[[#All],[Uge]],AC$5,Tabel1[[#All],[Type]],Skemaer!$K$19)+AC17</f>
        <v>21.66</v>
      </c>
      <c r="AD18" s="53">
        <f>SUMIFS(Tabel1[[#All],[Distance]],Tabel1[[#All],[Uge]],AD$5,Tabel1[[#All],[Type]],Skemaer!$K$19)+AD17</f>
        <v>26.26</v>
      </c>
      <c r="AE18" s="53">
        <f>SUMIFS(Tabel1[[#All],[Distance]],Tabel1[[#All],[Uge]],AE$5,Tabel1[[#All],[Type]],Skemaer!$K$19)+AE17</f>
        <v>28.01</v>
      </c>
      <c r="AF18" s="53">
        <f>SUMIFS(Tabel1[[#All],[Distance]],Tabel1[[#All],[Uge]],AF$5,Tabel1[[#All],[Type]],Skemaer!$K$19)+AF17</f>
        <v>23.01</v>
      </c>
      <c r="AG18" s="53">
        <f>SUMIFS(Tabel1[[#All],[Distance]],Tabel1[[#All],[Uge]],AG$5,Tabel1[[#All],[Type]],Skemaer!$K$19)+AG17</f>
        <v>21.75</v>
      </c>
      <c r="AH18" s="53">
        <f>SUMIFS(Tabel1[[#All],[Distance]],Tabel1[[#All],[Uge]],AH$5,Tabel1[[#All],[Type]],Skemaer!$K$19)+AH17</f>
        <v>38.409999999999997</v>
      </c>
      <c r="AI18" s="53">
        <f>SUMIFS(Tabel1[[#All],[Distance]],Tabel1[[#All],[Uge]],AI$5,Tabel1[[#All],[Type]],Skemaer!$K$19)+AI17</f>
        <v>20.56</v>
      </c>
      <c r="AJ18" s="53">
        <f>SUMIFS(Tabel1[[#All],[Distance]],Tabel1[[#All],[Uge]],AJ$5,Tabel1[[#All],[Type]],Skemaer!$K$19)+AJ17</f>
        <v>24.3</v>
      </c>
      <c r="AK18" s="53">
        <f>SUMIFS(Tabel1[[#All],[Distance]],Tabel1[[#All],[Uge]],AK$5,Tabel1[[#All],[Type]],Skemaer!$K$19)+AK17</f>
        <v>35.86</v>
      </c>
      <c r="AL18" s="53">
        <f>SUMIFS(Tabel1[[#All],[Distance]],Tabel1[[#All],[Uge]],AL$5,Tabel1[[#All],[Type]],Skemaer!$K$19)+AL17</f>
        <v>6.3</v>
      </c>
      <c r="AM18" s="53">
        <f>SUMIFS(Tabel1[[#All],[Distance]],Tabel1[[#All],[Uge]],AM$5,Tabel1[[#All],[Type]],Skemaer!$K$19)+AM17</f>
        <v>9.27</v>
      </c>
      <c r="AN18" s="53">
        <f>SUMIFS(Tabel1[[#All],[Distance]],Tabel1[[#All],[Uge]],AN$5,Tabel1[[#All],[Type]],Skemaer!$K$19)+AN17</f>
        <v>10.130000000000001</v>
      </c>
      <c r="AO18" s="53">
        <f>SUMIFS(Tabel1[[#All],[Distance]],Tabel1[[#All],[Uge]],AO$5,Tabel1[[#All],[Type]],Skemaer!$K$19)+AO17</f>
        <v>5.54</v>
      </c>
      <c r="AP18" s="53">
        <f>SUMIFS(Tabel1[[#All],[Distance]],Tabel1[[#All],[Uge]],AP$5,Tabel1[[#All],[Type]],Skemaer!$K$19)+AP17</f>
        <v>5.19</v>
      </c>
      <c r="AQ18" s="53">
        <f>SUMIFS(Tabel1[[#All],[Distance]],Tabel1[[#All],[Uge]],AQ$5,Tabel1[[#All],[Type]],Skemaer!$K$19)+AQ17</f>
        <v>0</v>
      </c>
      <c r="AR18" s="53">
        <f>SUMIFS(Tabel1[[#All],[Distance]],Tabel1[[#All],[Uge]],AR$5,Tabel1[[#All],[Type]],Skemaer!$K$19)+AR17</f>
        <v>13.57</v>
      </c>
      <c r="AS18" s="53">
        <f>SUMIFS(Tabel1[[#All],[Distance]],Tabel1[[#All],[Uge]],AS$5,Tabel1[[#All],[Type]],Skemaer!$K$19)+AS17</f>
        <v>5.16</v>
      </c>
      <c r="AT18" s="53">
        <f>SUMIFS(Tabel1[[#All],[Distance]],Tabel1[[#All],[Uge]],AT$5,Tabel1[[#All],[Type]],Skemaer!$K$19)+AT17</f>
        <v>7.01</v>
      </c>
      <c r="AU18" s="53">
        <f>SUMIFS(Tabel1[[#All],[Distance]],Tabel1[[#All],[Uge]],AU$5,Tabel1[[#All],[Type]],Skemaer!$K$19)+AU17</f>
        <v>5.22</v>
      </c>
      <c r="AV18" s="53">
        <f>SUMIFS(Tabel1[[#All],[Distance]],Tabel1[[#All],[Uge]],AV$5,Tabel1[[#All],[Type]],Skemaer!$K$19)+AV17</f>
        <v>0</v>
      </c>
      <c r="AW18" s="53">
        <f>SUMIFS(Tabel1[[#All],[Distance]],Tabel1[[#All],[Uge]],AW$5,Tabel1[[#All],[Type]],Skemaer!$K$19)+AW17</f>
        <v>30.13</v>
      </c>
      <c r="AX18" s="53">
        <f>SUMIFS(Tabel1[[#All],[Distance]],Tabel1[[#All],[Uge]],AX$5,Tabel1[[#All],[Type]],Skemaer!$K$19)+AX17</f>
        <v>0</v>
      </c>
      <c r="AY18" s="53">
        <f>SUMIFS(Tabel1[[#All],[Distance]],Tabel1[[#All],[Uge]],AY$5,Tabel1[[#All],[Type]],Skemaer!$K$19)+AY17</f>
        <v>19.919999999999998</v>
      </c>
      <c r="AZ18" s="53">
        <f>SUMIFS(Tabel1[[#All],[Distance]],Tabel1[[#All],[Uge]],AZ$5,Tabel1[[#All],[Type]],Skemaer!$K$19)+AZ17</f>
        <v>0</v>
      </c>
      <c r="BA18" s="53">
        <f>SUMIFS(Tabel1[[#All],[Distance]],Tabel1[[#All],[Uge]],BA$5,Tabel1[[#All],[Type]],Skemaer!$K$19)+BA17</f>
        <v>0</v>
      </c>
      <c r="BB18" s="53">
        <f>SUMIFS(Tabel1[[#All],[Distance]],Tabel1[[#All],[Uge]],BB$5,Tabel1[[#All],[Type]],Skemaer!$K$19)+BB17</f>
        <v>8.4600000000000009</v>
      </c>
      <c r="BC18" s="53">
        <f>SUMIFS(Tabel1[[#All],[Distance]],Tabel1[[#All],[Uge]],BC$5,Tabel1[[#All],[Type]],Skemaer!$K$19)+BC17</f>
        <v>4.08</v>
      </c>
      <c r="BD18" s="53">
        <f>SUMIFS(Tabel1[[#All],[Distance]],Tabel1[[#All],[Uge]],BD$5,Tabel1[[#All],[Type]],Skemaer!$K$19)+BD17</f>
        <v>0</v>
      </c>
      <c r="BE18" s="53">
        <f>SUMIFS(Tabel1[[#All],[Distance]],Tabel1[[#All],[Uge]],BE$5,Tabel1[[#All],[Type]],Skemaer!$K$19)+BE17</f>
        <v>6.49</v>
      </c>
      <c r="BF18" s="53">
        <f>SUMIFS(Tabel1[[#All],[Distance]],Tabel1[[#All],[Uge]],BF$5,Tabel1[[#All],[Type]],Skemaer!$K$19)+BF17</f>
        <v>0</v>
      </c>
      <c r="BG18" s="53">
        <f>SUMIFS(Tabel1[[#All],[Distance]],Tabel1[[#All],[Uge]],BG$5,Tabel1[[#All],[Type]],Skemaer!$K$19)+BG17</f>
        <v>0</v>
      </c>
      <c r="BH18" s="53">
        <f>SUMIFS(Tabel1[[#All],[Distance]],Tabel1[[#All],[Uge]],BH$5,Tabel1[[#All],[Type]],Skemaer!$K$19)+BH17</f>
        <v>0</v>
      </c>
      <c r="BI18" s="53">
        <f>SUMIFS(Tabel1[[#All],[Distance]],Tabel1[[#All],[Uge]],BI$5,Tabel1[[#All],[Type]],Skemaer!$K$19)+BI17</f>
        <v>0</v>
      </c>
      <c r="BJ18" s="53">
        <f>SUMIFS(Tabel1[[#All],[Distance]],Tabel1[[#All],[Uge]],BJ$5,Tabel1[[#All],[Type]],Skemaer!$K$19)+BJ17</f>
        <v>0</v>
      </c>
      <c r="BK18" s="53">
        <f>SUMIFS(Tabel1[[#All],[Distance]],Tabel1[[#All],[Uge]],BK$5,Tabel1[[#All],[Type]],Skemaer!$K$19)+BK17</f>
        <v>0</v>
      </c>
      <c r="BL18" s="53">
        <f>SUMIFS(Tabel1[[#All],[Distance]],Tabel1[[#All],[Uge]],BL$5,Tabel1[[#All],[Type]],Skemaer!$K$19)+BL17</f>
        <v>0</v>
      </c>
      <c r="BM18" s="53">
        <f>SUMIFS(Tabel1[[#All],[Distance]],Tabel1[[#All],[Uge]],BM$5,Tabel1[[#All],[Type]],Skemaer!$K$19)+BM17</f>
        <v>0</v>
      </c>
      <c r="BN18" s="53">
        <f>SUMIFS(Tabel1[[#All],[Distance]],Tabel1[[#All],[Uge]],BN$5,Tabel1[[#All],[Type]],Skemaer!$K$19)+BN17</f>
        <v>0</v>
      </c>
      <c r="BO18" s="53">
        <f>SUMIFS(Tabel1[[#All],[Distance]],Tabel1[[#All],[Uge]],BO$5,Tabel1[[#All],[Type]],Skemaer!$K$19)+BO17</f>
        <v>0</v>
      </c>
      <c r="BP18" s="53">
        <f>SUMIFS(Tabel1[[#All],[Distance]],Tabel1[[#All],[Uge]],BP$5,Tabel1[[#All],[Type]],Skemaer!$K$19)+BP17</f>
        <v>0</v>
      </c>
      <c r="BQ18" s="53">
        <f>SUMIFS(Tabel1[[#All],[Distance]],Tabel1[[#All],[Uge]],BQ$5,Tabel1[[#All],[Type]],Skemaer!$K$19)+BQ17</f>
        <v>0</v>
      </c>
      <c r="BR18" s="53">
        <f>SUMIFS(Tabel1[[#All],[Distance]],Tabel1[[#All],[Uge]],BR$5,Tabel1[[#All],[Type]],Skemaer!$K$19)+BR17</f>
        <v>0</v>
      </c>
      <c r="BS18" s="53"/>
    </row>
    <row r="19" spans="1:71" x14ac:dyDescent="0.3">
      <c r="A19" s="1" t="s">
        <v>40</v>
      </c>
      <c r="B19" s="1"/>
      <c r="C19" s="32">
        <v>2400</v>
      </c>
      <c r="D19" s="2"/>
      <c r="E19" s="2"/>
      <c r="F19" s="2"/>
      <c r="G19" s="2"/>
      <c r="H19" s="2"/>
      <c r="J19" s="47" t="s">
        <v>39</v>
      </c>
      <c r="K19" s="47" t="s">
        <v>6</v>
      </c>
      <c r="L19" s="48">
        <f>SUMIF(Tabel1[[#All],[Type]],K19,Tabel1[[#All],[Distance]])</f>
        <v>0</v>
      </c>
      <c r="P19" s="54" t="str">
        <f>Skemaer!$K$20</f>
        <v>K</v>
      </c>
      <c r="Q19" s="52">
        <f t="shared" si="2"/>
        <v>1874.9400000000003</v>
      </c>
      <c r="R19" s="53">
        <f>SUMIFS(Tabel1[[#All],[Distance]],Tabel1[[#All],[Uge]],R$5,Tabel1[[#All],[Type]],Skemaer!$K$20)</f>
        <v>0</v>
      </c>
      <c r="S19" s="53">
        <f>SUMIFS(Tabel1[[#All],[Distance]],Tabel1[[#All],[Uge]],S$5,Tabel1[[#All],[Type]],Skemaer!$K$20)</f>
        <v>0</v>
      </c>
      <c r="T19" s="53">
        <f>SUMIFS(Tabel1[[#All],[Distance]],Tabel1[[#All],[Uge]],T$5,Tabel1[[#All],[Type]],Skemaer!$K$20)</f>
        <v>42.22</v>
      </c>
      <c r="U19" s="53">
        <f>SUMIFS(Tabel1[[#All],[Distance]],Tabel1[[#All],[Uge]],U$5,Tabel1[[#All],[Type]],Skemaer!$K$20)</f>
        <v>52.620000000000005</v>
      </c>
      <c r="V19" s="53">
        <f>SUMIFS(Tabel1[[#All],[Distance]],Tabel1[[#All],[Uge]],V$5,Tabel1[[#All],[Type]],Skemaer!$K$20)+V18</f>
        <v>41.800000000000004</v>
      </c>
      <c r="W19" s="53">
        <f>SUMIFS(Tabel1[[#All],[Distance]],Tabel1[[#All],[Uge]],W$5,Tabel1[[#All],[Type]],Skemaer!$K$20)+W18</f>
        <v>76.61</v>
      </c>
      <c r="X19" s="53">
        <f>SUMIFS(Tabel1[[#All],[Distance]],Tabel1[[#All],[Uge]],X$5,Tabel1[[#All],[Type]],Skemaer!$K$20)+X18</f>
        <v>32.47</v>
      </c>
      <c r="Y19" s="53">
        <f>SUMIFS(Tabel1[[#All],[Distance]],Tabel1[[#All],[Uge]],Y$5,Tabel1[[#All],[Type]],Skemaer!$K$20)+Y18</f>
        <v>66.45</v>
      </c>
      <c r="Z19" s="53">
        <f>SUMIFS(Tabel1[[#All],[Distance]],Tabel1[[#All],[Uge]],Z$5,Tabel1[[#All],[Type]],Skemaer!$K$20)+Z18</f>
        <v>68.179999999999993</v>
      </c>
      <c r="AA19" s="53">
        <f>SUMIFS(Tabel1[[#All],[Distance]],Tabel1[[#All],[Uge]],AA$5,Tabel1[[#All],[Type]],Skemaer!$K$20)+AA18</f>
        <v>66.77</v>
      </c>
      <c r="AB19" s="53">
        <f>SUMIFS(Tabel1[[#All],[Distance]],Tabel1[[#All],[Uge]],AB$5,Tabel1[[#All],[Type]],Skemaer!$K$20)+AB18</f>
        <v>10.050000000000001</v>
      </c>
      <c r="AC19" s="53">
        <f>SUMIFS(Tabel1[[#All],[Distance]],Tabel1[[#All],[Uge]],AC$5,Tabel1[[#All],[Type]],Skemaer!$K$20)+AC18</f>
        <v>21.66</v>
      </c>
      <c r="AD19" s="53">
        <f>SUMIFS(Tabel1[[#All],[Distance]],Tabel1[[#All],[Uge]],AD$5,Tabel1[[#All],[Type]],Skemaer!$K$20)+AD18</f>
        <v>26.26</v>
      </c>
      <c r="AE19" s="53">
        <f>SUMIFS(Tabel1[[#All],[Distance]],Tabel1[[#All],[Uge]],AE$5,Tabel1[[#All],[Type]],Skemaer!$K$20)+AE18</f>
        <v>70.28</v>
      </c>
      <c r="AF19" s="53">
        <f>SUMIFS(Tabel1[[#All],[Distance]],Tabel1[[#All],[Uge]],AF$5,Tabel1[[#All],[Type]],Skemaer!$K$20)+AF18</f>
        <v>65.239999999999995</v>
      </c>
      <c r="AG19" s="53">
        <f>SUMIFS(Tabel1[[#All],[Distance]],Tabel1[[#All],[Uge]],AG$5,Tabel1[[#All],[Type]],Skemaer!$K$20)+AG18</f>
        <v>21.75</v>
      </c>
      <c r="AH19" s="53">
        <f>SUMIFS(Tabel1[[#All],[Distance]],Tabel1[[#All],[Uge]],AH$5,Tabel1[[#All],[Type]],Skemaer!$K$20)+AH18</f>
        <v>38.409999999999997</v>
      </c>
      <c r="AI19" s="53">
        <f>SUMIFS(Tabel1[[#All],[Distance]],Tabel1[[#All],[Uge]],AI$5,Tabel1[[#All],[Type]],Skemaer!$K$20)+AI18</f>
        <v>63.099999999999994</v>
      </c>
      <c r="AJ19" s="53">
        <f>SUMIFS(Tabel1[[#All],[Distance]],Tabel1[[#All],[Uge]],AJ$5,Tabel1[[#All],[Type]],Skemaer!$K$20)+AJ18</f>
        <v>66.5</v>
      </c>
      <c r="AK19" s="53">
        <f>SUMIFS(Tabel1[[#All],[Distance]],Tabel1[[#All],[Uge]],AK$5,Tabel1[[#All],[Type]],Skemaer!$K$20)+AK18</f>
        <v>35.86</v>
      </c>
      <c r="AL19" s="53">
        <f>SUMIFS(Tabel1[[#All],[Distance]],Tabel1[[#All],[Uge]],AL$5,Tabel1[[#All],[Type]],Skemaer!$K$20)+AL18</f>
        <v>6.3</v>
      </c>
      <c r="AM19" s="53">
        <f>SUMIFS(Tabel1[[#All],[Distance]],Tabel1[[#All],[Uge]],AM$5,Tabel1[[#All],[Type]],Skemaer!$K$20)+AM18</f>
        <v>51.97</v>
      </c>
      <c r="AN19" s="53">
        <f>SUMIFS(Tabel1[[#All],[Distance]],Tabel1[[#All],[Uge]],AN$5,Tabel1[[#All],[Type]],Skemaer!$K$20)+AN18</f>
        <v>52.96</v>
      </c>
      <c r="AO19" s="53">
        <f>SUMIFS(Tabel1[[#All],[Distance]],Tabel1[[#All],[Uge]],AO$5,Tabel1[[#All],[Type]],Skemaer!$K$20)+AO18</f>
        <v>90.840000000000018</v>
      </c>
      <c r="AP19" s="53">
        <f>SUMIFS(Tabel1[[#All],[Distance]],Tabel1[[#All],[Uge]],AP$5,Tabel1[[#All],[Type]],Skemaer!$K$20)+AP18</f>
        <v>47.65</v>
      </c>
      <c r="AQ19" s="53">
        <f>SUMIFS(Tabel1[[#All],[Distance]],Tabel1[[#All],[Uge]],AQ$5,Tabel1[[#All],[Type]],Skemaer!$K$20)+AQ18</f>
        <v>84.789999999999992</v>
      </c>
      <c r="AR19" s="53">
        <f>SUMIFS(Tabel1[[#All],[Distance]],Tabel1[[#All],[Uge]],AR$5,Tabel1[[#All],[Type]],Skemaer!$K$20)+AR18</f>
        <v>98.44</v>
      </c>
      <c r="AS19" s="53">
        <f>SUMIFS(Tabel1[[#All],[Distance]],Tabel1[[#All],[Uge]],AS$5,Tabel1[[#All],[Type]],Skemaer!$K$20)+AS18</f>
        <v>5.16</v>
      </c>
      <c r="AT19" s="53">
        <f>SUMIFS(Tabel1[[#All],[Distance]],Tabel1[[#All],[Uge]],AT$5,Tabel1[[#All],[Type]],Skemaer!$K$20)+AT18</f>
        <v>7.01</v>
      </c>
      <c r="AU19" s="53">
        <f>SUMIFS(Tabel1[[#All],[Distance]],Tabel1[[#All],[Uge]],AU$5,Tabel1[[#All],[Type]],Skemaer!$K$20)+AU18</f>
        <v>47.78</v>
      </c>
      <c r="AV19" s="53">
        <f>SUMIFS(Tabel1[[#All],[Distance]],Tabel1[[#All],[Uge]],AV$5,Tabel1[[#All],[Type]],Skemaer!$K$20)+AV18</f>
        <v>85.13</v>
      </c>
      <c r="AW19" s="53">
        <f>SUMIFS(Tabel1[[#All],[Distance]],Tabel1[[#All],[Uge]],AW$5,Tabel1[[#All],[Type]],Skemaer!$K$20)+AW18</f>
        <v>30.13</v>
      </c>
      <c r="AX19" s="53">
        <f>SUMIFS(Tabel1[[#All],[Distance]],Tabel1[[#All],[Uge]],AX$5,Tabel1[[#All],[Type]],Skemaer!$K$20)+AX18</f>
        <v>84.87</v>
      </c>
      <c r="AY19" s="53">
        <f>SUMIFS(Tabel1[[#All],[Distance]],Tabel1[[#All],[Uge]],AY$5,Tabel1[[#All],[Type]],Skemaer!$K$20)+AY18</f>
        <v>19.919999999999998</v>
      </c>
      <c r="AZ19" s="53">
        <f>SUMIFS(Tabel1[[#All],[Distance]],Tabel1[[#All],[Uge]],AZ$5,Tabel1[[#All],[Type]],Skemaer!$K$20)+AZ18</f>
        <v>85.22</v>
      </c>
      <c r="BA19" s="53">
        <f>SUMIFS(Tabel1[[#All],[Distance]],Tabel1[[#All],[Uge]],BA$5,Tabel1[[#All],[Type]],Skemaer!$K$20)+BA18</f>
        <v>42.22</v>
      </c>
      <c r="BB19" s="53">
        <f>SUMIFS(Tabel1[[#All],[Distance]],Tabel1[[#All],[Uge]],BB$5,Tabel1[[#All],[Type]],Skemaer!$K$20)+BB18</f>
        <v>8.4600000000000009</v>
      </c>
      <c r="BC19" s="53">
        <f>SUMIFS(Tabel1[[#All],[Distance]],Tabel1[[#All],[Uge]],BC$5,Tabel1[[#All],[Type]],Skemaer!$K$20)+BC18</f>
        <v>26.03</v>
      </c>
      <c r="BD19" s="53">
        <f>SUMIFS(Tabel1[[#All],[Distance]],Tabel1[[#All],[Uge]],BD$5,Tabel1[[#All],[Type]],Skemaer!$K$20)+BD18</f>
        <v>85.09</v>
      </c>
      <c r="BE19" s="53">
        <f>SUMIFS(Tabel1[[#All],[Distance]],Tabel1[[#All],[Uge]],BE$5,Tabel1[[#All],[Type]],Skemaer!$K$20)+BE18</f>
        <v>6.49</v>
      </c>
      <c r="BF19" s="53">
        <f>SUMIFS(Tabel1[[#All],[Distance]],Tabel1[[#All],[Uge]],BF$5,Tabel1[[#All],[Type]],Skemaer!$K$20)+BF18</f>
        <v>42.25</v>
      </c>
      <c r="BG19" s="53">
        <f>SUMIFS(Tabel1[[#All],[Distance]],Tabel1[[#All],[Uge]],BG$5,Tabel1[[#All],[Type]],Skemaer!$K$20)+BG18</f>
        <v>0</v>
      </c>
      <c r="BH19" s="53">
        <f>SUMIFS(Tabel1[[#All],[Distance]],Tabel1[[#All],[Uge]],BH$5,Tabel1[[#All],[Type]],Skemaer!$K$20)+BH18</f>
        <v>0</v>
      </c>
      <c r="BI19" s="53">
        <f>SUMIFS(Tabel1[[#All],[Distance]],Tabel1[[#All],[Uge]],BI$5,Tabel1[[#All],[Type]],Skemaer!$K$20)+BI18</f>
        <v>0</v>
      </c>
      <c r="BJ19" s="53">
        <f>SUMIFS(Tabel1[[#All],[Distance]],Tabel1[[#All],[Uge]],BJ$5,Tabel1[[#All],[Type]],Skemaer!$K$20)+BJ18</f>
        <v>0</v>
      </c>
      <c r="BK19" s="53">
        <f>SUMIFS(Tabel1[[#All],[Distance]],Tabel1[[#All],[Uge]],BK$5,Tabel1[[#All],[Type]],Skemaer!$K$20)+BK18</f>
        <v>0</v>
      </c>
      <c r="BL19" s="53">
        <f>SUMIFS(Tabel1[[#All],[Distance]],Tabel1[[#All],[Uge]],BL$5,Tabel1[[#All],[Type]],Skemaer!$K$20)+BL18</f>
        <v>0</v>
      </c>
      <c r="BM19" s="53">
        <f>SUMIFS(Tabel1[[#All],[Distance]],Tabel1[[#All],[Uge]],BM$5,Tabel1[[#All],[Type]],Skemaer!$K$20)+BM18</f>
        <v>0</v>
      </c>
      <c r="BN19" s="53">
        <f>SUMIFS(Tabel1[[#All],[Distance]],Tabel1[[#All],[Uge]],BN$5,Tabel1[[#All],[Type]],Skemaer!$K$20)+BN18</f>
        <v>0</v>
      </c>
      <c r="BO19" s="53">
        <f>SUMIFS(Tabel1[[#All],[Distance]],Tabel1[[#All],[Uge]],BO$5,Tabel1[[#All],[Type]],Skemaer!$K$20)+BO18</f>
        <v>0</v>
      </c>
      <c r="BP19" s="53">
        <f>SUMIFS(Tabel1[[#All],[Distance]],Tabel1[[#All],[Uge]],BP$5,Tabel1[[#All],[Type]],Skemaer!$K$20)+BP18</f>
        <v>0</v>
      </c>
      <c r="BQ19" s="53">
        <f>SUMIFS(Tabel1[[#All],[Distance]],Tabel1[[#All],[Uge]],BQ$5,Tabel1[[#All],[Type]],Skemaer!$K$20)+BQ18</f>
        <v>0</v>
      </c>
      <c r="BR19" s="53">
        <f>SUMIFS(Tabel1[[#All],[Distance]],Tabel1[[#All],[Uge]],BR$5,Tabel1[[#All],[Type]],Skemaer!$K$20)+BR18</f>
        <v>0</v>
      </c>
      <c r="BS19" s="53"/>
    </row>
    <row r="20" spans="1:71" x14ac:dyDescent="0.3">
      <c r="A20" s="5" t="s">
        <v>41</v>
      </c>
      <c r="B20" s="6"/>
      <c r="C20" s="33">
        <f>+C19-C18</f>
        <v>459.40000000000009</v>
      </c>
      <c r="D20" s="33"/>
      <c r="E20" s="33"/>
      <c r="F20" s="33"/>
      <c r="G20" s="33"/>
      <c r="H20" s="33"/>
      <c r="J20" s="47" t="s">
        <v>9</v>
      </c>
      <c r="K20" s="47" t="s">
        <v>10</v>
      </c>
      <c r="L20" s="48">
        <f>SUMIF(Tabel1[[#All],[Type]],K20,Tabel1[[#All],[Distance]])</f>
        <v>1321.2300000000002</v>
      </c>
      <c r="P20" s="5" t="s">
        <v>49</v>
      </c>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2" spans="1:71" x14ac:dyDescent="0.3">
      <c r="A22" t="s">
        <v>42</v>
      </c>
      <c r="C22">
        <f>ROUND(C18/C19*100,2)</f>
        <v>80.86</v>
      </c>
    </row>
  </sheetData>
  <mergeCells count="1">
    <mergeCell ref="P13:Q13"/>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4"/>
  <sheetViews>
    <sheetView tabSelected="1" zoomScale="90" zoomScaleNormal="90" zoomScalePageLayoutView="170" workbookViewId="0">
      <selection activeCell="J24" sqref="J24"/>
    </sheetView>
  </sheetViews>
  <sheetFormatPr defaultColWidth="11.19921875" defaultRowHeight="15.6" x14ac:dyDescent="0.3"/>
  <cols>
    <col min="1" max="1" width="8.5" bestFit="1" customWidth="1"/>
    <col min="2" max="2" width="9.5" bestFit="1" customWidth="1"/>
    <col min="3" max="3" width="9.5" customWidth="1"/>
    <col min="4" max="6" width="3.19921875" customWidth="1"/>
    <col min="10" max="10" width="59.5" bestFit="1" customWidth="1"/>
    <col min="12" max="12" width="11.5" bestFit="1" customWidth="1"/>
    <col min="13" max="13" width="14.3984375" bestFit="1" customWidth="1"/>
  </cols>
  <sheetData>
    <row r="1" spans="1:15" ht="22.8" x14ac:dyDescent="0.4">
      <c r="A1" s="140" t="s">
        <v>51</v>
      </c>
      <c r="B1" s="140"/>
      <c r="C1" s="140"/>
      <c r="D1" s="140"/>
      <c r="E1" s="140"/>
      <c r="F1" s="140"/>
      <c r="G1" s="140"/>
      <c r="H1" s="140"/>
      <c r="I1" s="140"/>
      <c r="J1" s="140"/>
    </row>
    <row r="2" spans="1:15" ht="16.2" thickBot="1" x14ac:dyDescent="0.35">
      <c r="A2" s="57"/>
      <c r="B2" s="57"/>
      <c r="C2" s="57"/>
      <c r="D2" s="57"/>
      <c r="E2" s="57"/>
      <c r="F2" s="57"/>
      <c r="G2" s="57"/>
      <c r="H2" s="57"/>
      <c r="I2" s="57"/>
      <c r="J2" s="57"/>
    </row>
    <row r="3" spans="1:15" ht="16.05" customHeight="1" x14ac:dyDescent="0.35">
      <c r="A3" s="149" t="s">
        <v>59</v>
      </c>
      <c r="B3" s="143" t="s">
        <v>0</v>
      </c>
      <c r="C3" s="165" t="s">
        <v>47</v>
      </c>
      <c r="D3" s="162" t="s">
        <v>52</v>
      </c>
      <c r="E3" s="163"/>
      <c r="F3" s="164"/>
      <c r="G3" s="145" t="s">
        <v>60</v>
      </c>
      <c r="H3" s="147" t="s">
        <v>130</v>
      </c>
      <c r="I3" s="157" t="s">
        <v>198</v>
      </c>
      <c r="J3" s="141" t="s">
        <v>61</v>
      </c>
      <c r="L3" s="170" t="s">
        <v>204</v>
      </c>
      <c r="M3" s="171" t="s">
        <v>205</v>
      </c>
    </row>
    <row r="4" spans="1:15" ht="19.95" customHeight="1" thickBot="1" x14ac:dyDescent="0.4">
      <c r="A4" s="150"/>
      <c r="B4" s="144"/>
      <c r="C4" s="166"/>
      <c r="D4" s="129" t="s">
        <v>6</v>
      </c>
      <c r="E4" s="129" t="s">
        <v>7</v>
      </c>
      <c r="F4" s="129" t="s">
        <v>8</v>
      </c>
      <c r="G4" s="146"/>
      <c r="H4" s="148"/>
      <c r="I4" s="158"/>
      <c r="J4" s="142"/>
      <c r="L4" s="172">
        <v>2009</v>
      </c>
      <c r="M4" s="173">
        <f>COUNTIF(MT_AAR,L4)</f>
        <v>2</v>
      </c>
      <c r="O4" s="102"/>
    </row>
    <row r="5" spans="1:15" ht="16.2" customHeight="1" x14ac:dyDescent="0.3">
      <c r="A5" s="58">
        <v>1</v>
      </c>
      <c r="B5" s="126">
        <v>40076</v>
      </c>
      <c r="C5" s="167">
        <f>YEAR(B5)</f>
        <v>2009</v>
      </c>
      <c r="D5" s="130">
        <v>4</v>
      </c>
      <c r="E5" s="130">
        <v>58</v>
      </c>
      <c r="F5" s="130">
        <v>31</v>
      </c>
      <c r="G5" s="131">
        <f>TIME(D5,E5,F5)/42.195</f>
        <v>4.9129811764602608E-3</v>
      </c>
      <c r="H5" s="132"/>
      <c r="I5" s="159" t="s">
        <v>199</v>
      </c>
      <c r="J5" s="59" t="s">
        <v>90</v>
      </c>
      <c r="L5" s="172">
        <v>2010</v>
      </c>
      <c r="M5" s="173">
        <f>COUNTIF(MT_AAR,L5)</f>
        <v>2</v>
      </c>
    </row>
    <row r="6" spans="1:15" x14ac:dyDescent="0.3">
      <c r="A6" s="60">
        <v>2</v>
      </c>
      <c r="B6" s="127">
        <v>40131</v>
      </c>
      <c r="C6" s="167">
        <f t="shared" ref="C6:C69" si="0">YEAR(B6)</f>
        <v>2009</v>
      </c>
      <c r="D6" s="63">
        <v>5</v>
      </c>
      <c r="E6" s="63">
        <v>2</v>
      </c>
      <c r="F6" s="63">
        <v>41</v>
      </c>
      <c r="G6" s="64">
        <f>TIME(D6,E6,F6)/42.195</f>
        <v>4.9815560909884883E-3</v>
      </c>
      <c r="H6" s="133"/>
      <c r="I6" s="160"/>
      <c r="J6" s="61" t="s">
        <v>53</v>
      </c>
      <c r="L6" s="172">
        <v>2011</v>
      </c>
      <c r="M6" s="173">
        <f>COUNTIF(MT_AAR,L6)</f>
        <v>0</v>
      </c>
    </row>
    <row r="7" spans="1:15" x14ac:dyDescent="0.3">
      <c r="A7" s="60">
        <v>3</v>
      </c>
      <c r="B7" s="127">
        <v>40321</v>
      </c>
      <c r="C7" s="167">
        <f t="shared" si="0"/>
        <v>2010</v>
      </c>
      <c r="D7" s="63">
        <v>4</v>
      </c>
      <c r="E7" s="63">
        <v>44</v>
      </c>
      <c r="F7" s="63">
        <v>4</v>
      </c>
      <c r="G7" s="64">
        <f t="shared" ref="G7:G15" si="1">TIME(D7,E7,F7)/42.195</f>
        <v>4.6751633728763725E-3</v>
      </c>
      <c r="H7" s="133"/>
      <c r="I7" s="160" t="s">
        <v>199</v>
      </c>
      <c r="J7" s="61" t="s">
        <v>54</v>
      </c>
      <c r="L7" s="172">
        <v>2012</v>
      </c>
      <c r="M7" s="173">
        <f>COUNTIF(MT_AAR,L7)</f>
        <v>3</v>
      </c>
    </row>
    <row r="8" spans="1:15" x14ac:dyDescent="0.3">
      <c r="A8" s="60">
        <v>4</v>
      </c>
      <c r="B8" s="127">
        <v>40489</v>
      </c>
      <c r="C8" s="167">
        <f t="shared" si="0"/>
        <v>2010</v>
      </c>
      <c r="D8" s="63">
        <v>5</v>
      </c>
      <c r="E8" s="63">
        <v>24</v>
      </c>
      <c r="F8" s="63">
        <v>2</v>
      </c>
      <c r="G8" s="64">
        <f t="shared" si="1"/>
        <v>5.3329339530311217E-3</v>
      </c>
      <c r="H8" s="133"/>
      <c r="I8" s="160" t="s">
        <v>199</v>
      </c>
      <c r="J8" s="61" t="s">
        <v>55</v>
      </c>
      <c r="L8" s="172">
        <v>2013</v>
      </c>
      <c r="M8" s="173">
        <f>COUNTIF(MT_AAR,L8)</f>
        <v>3</v>
      </c>
    </row>
    <row r="9" spans="1:15" x14ac:dyDescent="0.3">
      <c r="A9" s="60">
        <v>5</v>
      </c>
      <c r="B9" s="127">
        <v>41049</v>
      </c>
      <c r="C9" s="167">
        <f t="shared" si="0"/>
        <v>2012</v>
      </c>
      <c r="D9" s="63">
        <v>5</v>
      </c>
      <c r="E9" s="63">
        <v>38</v>
      </c>
      <c r="F9" s="63">
        <v>6</v>
      </c>
      <c r="G9" s="64">
        <f t="shared" si="1"/>
        <v>5.5644428644784135E-3</v>
      </c>
      <c r="H9" s="133"/>
      <c r="I9" s="160" t="s">
        <v>199</v>
      </c>
      <c r="J9" s="61" t="s">
        <v>54</v>
      </c>
      <c r="L9" s="172">
        <v>2014</v>
      </c>
      <c r="M9" s="173">
        <f>COUNTIF(MT_AAR,L9)</f>
        <v>1</v>
      </c>
    </row>
    <row r="10" spans="1:15" x14ac:dyDescent="0.3">
      <c r="A10" s="60">
        <v>6</v>
      </c>
      <c r="B10" s="127">
        <v>41104</v>
      </c>
      <c r="C10" s="167">
        <f t="shared" si="0"/>
        <v>2012</v>
      </c>
      <c r="D10" s="63">
        <v>4</v>
      </c>
      <c r="E10" s="63">
        <v>52</v>
      </c>
      <c r="F10" s="63">
        <v>52</v>
      </c>
      <c r="G10" s="64">
        <f t="shared" si="1"/>
        <v>4.8199935923599864E-3</v>
      </c>
      <c r="H10" s="133"/>
      <c r="I10" s="160" t="s">
        <v>199</v>
      </c>
      <c r="J10" s="61" t="s">
        <v>56</v>
      </c>
      <c r="L10" s="174">
        <v>2015</v>
      </c>
      <c r="M10" s="173">
        <f>COUNTIF(MT_AAR,L10)</f>
        <v>2</v>
      </c>
    </row>
    <row r="11" spans="1:15" x14ac:dyDescent="0.3">
      <c r="A11" s="60">
        <v>7</v>
      </c>
      <c r="B11" s="127">
        <v>41224</v>
      </c>
      <c r="C11" s="167">
        <f t="shared" si="0"/>
        <v>2012</v>
      </c>
      <c r="D11" s="63">
        <v>5</v>
      </c>
      <c r="E11" s="63">
        <v>19</v>
      </c>
      <c r="F11" s="63">
        <v>47</v>
      </c>
      <c r="G11" s="64">
        <f t="shared" si="1"/>
        <v>5.26298754021233E-3</v>
      </c>
      <c r="H11" s="133"/>
      <c r="I11" s="160"/>
      <c r="J11" s="61" t="s">
        <v>53</v>
      </c>
      <c r="L11" s="174">
        <v>2016</v>
      </c>
      <c r="M11" s="173">
        <f>COUNTIF(MT_AAR,L11)</f>
        <v>7</v>
      </c>
    </row>
    <row r="12" spans="1:15" x14ac:dyDescent="0.3">
      <c r="A12" s="60">
        <v>8</v>
      </c>
      <c r="B12" s="127">
        <v>41371</v>
      </c>
      <c r="C12" s="167">
        <f t="shared" si="0"/>
        <v>2013</v>
      </c>
      <c r="D12" s="63">
        <v>4</v>
      </c>
      <c r="E12" s="63">
        <v>59</v>
      </c>
      <c r="F12" s="63">
        <v>55</v>
      </c>
      <c r="G12" s="64">
        <f t="shared" si="1"/>
        <v>4.9360223477417451E-3</v>
      </c>
      <c r="H12" s="133"/>
      <c r="I12" s="160" t="s">
        <v>199</v>
      </c>
      <c r="J12" s="61" t="s">
        <v>57</v>
      </c>
      <c r="L12" s="174">
        <v>2017</v>
      </c>
      <c r="M12" s="173">
        <f>COUNTIF(MT_AAR,L12)</f>
        <v>30</v>
      </c>
    </row>
    <row r="13" spans="1:15" x14ac:dyDescent="0.3">
      <c r="A13" s="60">
        <v>9</v>
      </c>
      <c r="B13" s="127">
        <v>41413</v>
      </c>
      <c r="C13" s="167">
        <f t="shared" si="0"/>
        <v>2013</v>
      </c>
      <c r="D13" s="63">
        <v>4</v>
      </c>
      <c r="E13" s="63">
        <v>31</v>
      </c>
      <c r="F13" s="63">
        <v>15</v>
      </c>
      <c r="G13" s="64">
        <f t="shared" si="1"/>
        <v>4.4642269357875472E-3</v>
      </c>
      <c r="H13" s="133"/>
      <c r="I13" s="160" t="s">
        <v>199</v>
      </c>
      <c r="J13" s="61" t="s">
        <v>54</v>
      </c>
      <c r="L13" s="174">
        <v>2018</v>
      </c>
      <c r="M13" s="173">
        <f>COUNTIF(MT_AAR,L13)</f>
        <v>30</v>
      </c>
    </row>
    <row r="14" spans="1:15" x14ac:dyDescent="0.3">
      <c r="A14" s="60">
        <v>10</v>
      </c>
      <c r="B14" s="127">
        <v>41546</v>
      </c>
      <c r="C14" s="167">
        <f t="shared" si="0"/>
        <v>2013</v>
      </c>
      <c r="D14" s="63">
        <v>4</v>
      </c>
      <c r="E14" s="63">
        <v>34</v>
      </c>
      <c r="F14" s="63">
        <v>24</v>
      </c>
      <c r="G14" s="64">
        <f t="shared" si="1"/>
        <v>4.5160695711708868E-3</v>
      </c>
      <c r="H14" s="133"/>
      <c r="I14" s="160" t="s">
        <v>199</v>
      </c>
      <c r="J14" s="61" t="s">
        <v>91</v>
      </c>
      <c r="L14" s="174">
        <v>2019</v>
      </c>
      <c r="M14" s="173">
        <f>COUNTIF(MT_AAR,L14)</f>
        <v>0</v>
      </c>
    </row>
    <row r="15" spans="1:15" ht="16.2" thickBot="1" x14ac:dyDescent="0.35">
      <c r="A15" s="60">
        <v>11</v>
      </c>
      <c r="B15" s="127">
        <v>41819</v>
      </c>
      <c r="C15" s="167">
        <f t="shared" si="0"/>
        <v>2014</v>
      </c>
      <c r="D15" s="63">
        <v>4</v>
      </c>
      <c r="E15" s="63">
        <v>45</v>
      </c>
      <c r="F15" s="63">
        <v>49</v>
      </c>
      <c r="G15" s="64">
        <f t="shared" si="1"/>
        <v>4.7039648369782278E-3</v>
      </c>
      <c r="H15" s="133"/>
      <c r="I15" s="160" t="s">
        <v>199</v>
      </c>
      <c r="J15" s="61" t="s">
        <v>58</v>
      </c>
      <c r="L15" s="175">
        <v>2020</v>
      </c>
      <c r="M15" s="176">
        <f>COUNTIF(MT_AAR,L15)</f>
        <v>0</v>
      </c>
    </row>
    <row r="16" spans="1:15" x14ac:dyDescent="0.3">
      <c r="A16" s="60">
        <v>12</v>
      </c>
      <c r="B16" s="127">
        <v>42169</v>
      </c>
      <c r="C16" s="167">
        <f t="shared" si="0"/>
        <v>2015</v>
      </c>
      <c r="D16" s="63">
        <v>4</v>
      </c>
      <c r="E16" s="63">
        <v>58</v>
      </c>
      <c r="F16" s="63">
        <v>59</v>
      </c>
      <c r="G16" s="64">
        <f>TIME(D16,E16,F16)/42.195</f>
        <v>4.9206615668874231E-3</v>
      </c>
      <c r="H16" s="133"/>
      <c r="I16" s="160" t="s">
        <v>199</v>
      </c>
      <c r="J16" s="61" t="s">
        <v>62</v>
      </c>
    </row>
    <row r="17" spans="1:13" x14ac:dyDescent="0.3">
      <c r="A17" s="60">
        <v>13</v>
      </c>
      <c r="B17" s="127">
        <v>42274</v>
      </c>
      <c r="C17" s="167">
        <f t="shared" si="0"/>
        <v>2015</v>
      </c>
      <c r="D17" s="63">
        <v>4</v>
      </c>
      <c r="E17" s="63">
        <v>50</v>
      </c>
      <c r="F17" s="63">
        <v>36</v>
      </c>
      <c r="G17" s="64">
        <f>TIME(D17,E17,F17)/42.195</f>
        <v>4.7826888388566319E-3</v>
      </c>
      <c r="H17" s="133"/>
      <c r="I17" s="160" t="s">
        <v>199</v>
      </c>
      <c r="J17" s="61" t="s">
        <v>92</v>
      </c>
    </row>
    <row r="18" spans="1:13" x14ac:dyDescent="0.3">
      <c r="A18" s="60">
        <v>14</v>
      </c>
      <c r="B18" s="127">
        <v>42525</v>
      </c>
      <c r="C18" s="167">
        <f t="shared" si="0"/>
        <v>2016</v>
      </c>
      <c r="D18" s="63">
        <v>5</v>
      </c>
      <c r="E18" s="63">
        <v>15</v>
      </c>
      <c r="F18" s="63">
        <v>0</v>
      </c>
      <c r="G18" s="64">
        <f t="shared" ref="G18:G104" si="2">TIME(D18,E18,F18)/42.195</f>
        <v>5.1842635383339258E-3</v>
      </c>
      <c r="H18" s="133"/>
      <c r="I18" s="160" t="s">
        <v>199</v>
      </c>
      <c r="J18" s="61" t="s">
        <v>96</v>
      </c>
      <c r="M18" s="117"/>
    </row>
    <row r="19" spans="1:13" x14ac:dyDescent="0.3">
      <c r="A19" s="60">
        <v>15</v>
      </c>
      <c r="B19" s="127">
        <v>42581</v>
      </c>
      <c r="C19" s="167">
        <f t="shared" si="0"/>
        <v>2016</v>
      </c>
      <c r="D19" s="63">
        <v>5</v>
      </c>
      <c r="E19" s="63">
        <v>19</v>
      </c>
      <c r="F19" s="63">
        <v>41</v>
      </c>
      <c r="G19" s="64">
        <f t="shared" si="2"/>
        <v>5.2613417422636526E-3</v>
      </c>
      <c r="H19" s="133"/>
      <c r="I19" s="160"/>
      <c r="J19" s="61" t="s">
        <v>95</v>
      </c>
      <c r="M19" s="117"/>
    </row>
    <row r="20" spans="1:13" x14ac:dyDescent="0.3">
      <c r="A20" s="60">
        <v>16</v>
      </c>
      <c r="B20" s="127">
        <v>42638</v>
      </c>
      <c r="C20" s="167">
        <f t="shared" si="0"/>
        <v>2016</v>
      </c>
      <c r="D20" s="63">
        <v>5</v>
      </c>
      <c r="E20" s="63">
        <v>16</v>
      </c>
      <c r="F20" s="63">
        <v>20</v>
      </c>
      <c r="G20" s="64">
        <f t="shared" si="2"/>
        <v>5.2062075109829582E-3</v>
      </c>
      <c r="H20" s="133"/>
      <c r="I20" s="160" t="s">
        <v>199</v>
      </c>
      <c r="J20" s="61" t="s">
        <v>89</v>
      </c>
      <c r="M20" s="117"/>
    </row>
    <row r="21" spans="1:13" x14ac:dyDescent="0.3">
      <c r="A21" s="60">
        <v>17</v>
      </c>
      <c r="B21" s="127">
        <v>42659</v>
      </c>
      <c r="C21" s="167">
        <f t="shared" si="0"/>
        <v>2016</v>
      </c>
      <c r="D21" s="63">
        <v>4</v>
      </c>
      <c r="E21" s="63">
        <v>50</v>
      </c>
      <c r="F21" s="63">
        <v>24</v>
      </c>
      <c r="G21" s="64">
        <f t="shared" si="2"/>
        <v>4.7793972429592763E-3</v>
      </c>
      <c r="H21" s="133"/>
      <c r="I21" s="160" t="s">
        <v>199</v>
      </c>
      <c r="J21" s="61" t="s">
        <v>94</v>
      </c>
      <c r="M21" s="117"/>
    </row>
    <row r="22" spans="1:13" x14ac:dyDescent="0.3">
      <c r="A22" s="60">
        <v>18</v>
      </c>
      <c r="B22" s="127">
        <v>42700</v>
      </c>
      <c r="C22" s="167">
        <f t="shared" si="0"/>
        <v>2016</v>
      </c>
      <c r="D22" s="63">
        <v>4</v>
      </c>
      <c r="E22" s="63">
        <v>45</v>
      </c>
      <c r="F22" s="63">
        <v>14</v>
      </c>
      <c r="G22" s="64">
        <f t="shared" si="2"/>
        <v>4.6943643489442757E-3</v>
      </c>
      <c r="H22" s="133"/>
      <c r="I22" s="160"/>
      <c r="J22" s="61" t="s">
        <v>93</v>
      </c>
      <c r="M22" s="117"/>
    </row>
    <row r="23" spans="1:13" x14ac:dyDescent="0.3">
      <c r="A23" s="60">
        <v>19</v>
      </c>
      <c r="B23" s="127">
        <v>42727</v>
      </c>
      <c r="C23" s="167">
        <f t="shared" si="0"/>
        <v>2016</v>
      </c>
      <c r="D23" s="63">
        <v>4</v>
      </c>
      <c r="E23" s="63">
        <v>43</v>
      </c>
      <c r="F23" s="63">
        <v>0</v>
      </c>
      <c r="G23" s="64">
        <f t="shared" si="2"/>
        <v>4.6576081947571459E-3</v>
      </c>
      <c r="H23" s="133"/>
      <c r="I23" s="160"/>
      <c r="J23" s="61" t="s">
        <v>101</v>
      </c>
      <c r="M23" s="117"/>
    </row>
    <row r="24" spans="1:13" x14ac:dyDescent="0.3">
      <c r="A24" s="60">
        <v>20</v>
      </c>
      <c r="B24" s="127">
        <v>42733</v>
      </c>
      <c r="C24" s="167">
        <f t="shared" si="0"/>
        <v>2016</v>
      </c>
      <c r="D24" s="63">
        <v>4</v>
      </c>
      <c r="E24" s="63">
        <v>50</v>
      </c>
      <c r="F24" s="63">
        <v>57</v>
      </c>
      <c r="G24" s="64">
        <f t="shared" si="2"/>
        <v>4.7884491316770028E-3</v>
      </c>
      <c r="H24" s="133"/>
      <c r="I24" s="160"/>
      <c r="J24" s="61" t="s">
        <v>102</v>
      </c>
      <c r="M24" s="117"/>
    </row>
    <row r="25" spans="1:13" x14ac:dyDescent="0.3">
      <c r="A25" s="60">
        <v>21</v>
      </c>
      <c r="B25" s="127">
        <v>42753</v>
      </c>
      <c r="C25" s="167">
        <f t="shared" si="0"/>
        <v>2017</v>
      </c>
      <c r="D25" s="63">
        <v>4</v>
      </c>
      <c r="E25" s="63">
        <v>57</v>
      </c>
      <c r="F25" s="63">
        <v>28</v>
      </c>
      <c r="G25" s="64">
        <f t="shared" si="2"/>
        <v>4.895700297999149E-3</v>
      </c>
      <c r="H25" s="133"/>
      <c r="I25" s="160"/>
      <c r="J25" s="61" t="s">
        <v>104</v>
      </c>
      <c r="M25" s="117"/>
    </row>
    <row r="26" spans="1:13" x14ac:dyDescent="0.3">
      <c r="A26" s="60">
        <v>22</v>
      </c>
      <c r="B26" s="127">
        <v>42792</v>
      </c>
      <c r="C26" s="167">
        <f t="shared" si="0"/>
        <v>2017</v>
      </c>
      <c r="D26" s="63">
        <v>4</v>
      </c>
      <c r="E26" s="63">
        <v>54</v>
      </c>
      <c r="F26" s="63">
        <v>54</v>
      </c>
      <c r="G26" s="64">
        <f t="shared" si="2"/>
        <v>4.8534581506497615E-3</v>
      </c>
      <c r="H26" s="133"/>
      <c r="I26" s="160"/>
      <c r="J26" s="61" t="s">
        <v>105</v>
      </c>
    </row>
    <row r="27" spans="1:13" x14ac:dyDescent="0.3">
      <c r="A27" s="60">
        <v>23</v>
      </c>
      <c r="B27" s="127">
        <v>42824</v>
      </c>
      <c r="C27" s="167">
        <f t="shared" si="0"/>
        <v>2017</v>
      </c>
      <c r="D27" s="63">
        <v>4</v>
      </c>
      <c r="E27" s="63">
        <v>56</v>
      </c>
      <c r="F27" s="63">
        <v>15</v>
      </c>
      <c r="G27" s="64">
        <f t="shared" si="2"/>
        <v>4.8756764229569063E-3</v>
      </c>
      <c r="H27" s="133"/>
      <c r="I27" s="160"/>
      <c r="J27" s="61" t="s">
        <v>104</v>
      </c>
    </row>
    <row r="28" spans="1:13" x14ac:dyDescent="0.3">
      <c r="A28" s="60">
        <v>24</v>
      </c>
      <c r="B28" s="127">
        <v>42839</v>
      </c>
      <c r="C28" s="167">
        <f t="shared" si="0"/>
        <v>2017</v>
      </c>
      <c r="D28" s="63">
        <v>5</v>
      </c>
      <c r="E28" s="63">
        <v>17</v>
      </c>
      <c r="F28" s="63">
        <v>16</v>
      </c>
      <c r="G28" s="64">
        <f t="shared" si="2"/>
        <v>5.2215682918372811E-3</v>
      </c>
      <c r="H28" s="133"/>
      <c r="I28" s="160"/>
      <c r="J28" s="61" t="s">
        <v>106</v>
      </c>
    </row>
    <row r="29" spans="1:13" x14ac:dyDescent="0.3">
      <c r="A29" s="60">
        <v>25</v>
      </c>
      <c r="B29" s="127">
        <v>42867</v>
      </c>
      <c r="C29" s="167">
        <f t="shared" si="0"/>
        <v>2017</v>
      </c>
      <c r="D29" s="63">
        <v>4</v>
      </c>
      <c r="E29" s="63">
        <v>56</v>
      </c>
      <c r="F29" s="63">
        <v>34</v>
      </c>
      <c r="G29" s="64">
        <f t="shared" si="2"/>
        <v>4.8808881164610516E-3</v>
      </c>
      <c r="H29" s="133"/>
      <c r="I29" s="160"/>
      <c r="J29" s="61" t="s">
        <v>107</v>
      </c>
    </row>
    <row r="30" spans="1:13" x14ac:dyDescent="0.3">
      <c r="A30" s="60">
        <v>26</v>
      </c>
      <c r="B30" s="127">
        <v>42876</v>
      </c>
      <c r="C30" s="167">
        <f t="shared" si="0"/>
        <v>2017</v>
      </c>
      <c r="D30" s="63">
        <v>4</v>
      </c>
      <c r="E30" s="63">
        <v>48</v>
      </c>
      <c r="F30" s="63">
        <v>33</v>
      </c>
      <c r="G30" s="64">
        <f t="shared" si="2"/>
        <v>4.7489499809087437E-3</v>
      </c>
      <c r="H30" s="133"/>
      <c r="I30" s="160" t="s">
        <v>199</v>
      </c>
      <c r="J30" s="61" t="s">
        <v>54</v>
      </c>
    </row>
    <row r="31" spans="1:13" x14ac:dyDescent="0.3">
      <c r="A31" s="60">
        <v>27</v>
      </c>
      <c r="B31" s="127">
        <v>42889</v>
      </c>
      <c r="C31" s="167">
        <f t="shared" si="0"/>
        <v>2017</v>
      </c>
      <c r="D31" s="63">
        <v>5</v>
      </c>
      <c r="E31" s="63">
        <v>24</v>
      </c>
      <c r="F31" s="63">
        <v>21</v>
      </c>
      <c r="G31" s="64">
        <f t="shared" si="2"/>
        <v>5.3381456465352662E-3</v>
      </c>
      <c r="H31" s="133"/>
      <c r="I31" s="160" t="s">
        <v>199</v>
      </c>
      <c r="J31" s="61" t="s">
        <v>108</v>
      </c>
    </row>
    <row r="32" spans="1:13" x14ac:dyDescent="0.3">
      <c r="A32" s="60">
        <v>28</v>
      </c>
      <c r="B32" s="127">
        <v>42900</v>
      </c>
      <c r="C32" s="167">
        <f t="shared" si="0"/>
        <v>2017</v>
      </c>
      <c r="D32" s="63">
        <v>4</v>
      </c>
      <c r="E32" s="63">
        <v>49</v>
      </c>
      <c r="F32" s="63">
        <v>38</v>
      </c>
      <c r="G32" s="64">
        <f t="shared" si="2"/>
        <v>4.7667794586860818E-3</v>
      </c>
      <c r="H32" s="133"/>
      <c r="I32" s="160"/>
      <c r="J32" s="61" t="s">
        <v>109</v>
      </c>
    </row>
    <row r="33" spans="1:10" x14ac:dyDescent="0.3">
      <c r="A33" s="60">
        <v>29</v>
      </c>
      <c r="B33" s="127">
        <v>42904</v>
      </c>
      <c r="C33" s="167">
        <f t="shared" si="0"/>
        <v>2017</v>
      </c>
      <c r="D33" s="63">
        <v>5</v>
      </c>
      <c r="E33" s="63">
        <v>29</v>
      </c>
      <c r="F33" s="63">
        <v>58</v>
      </c>
      <c r="G33" s="64">
        <f t="shared" si="2"/>
        <v>5.4305846313193159E-3</v>
      </c>
      <c r="H33" s="133"/>
      <c r="I33" s="160"/>
      <c r="J33" s="61" t="s">
        <v>110</v>
      </c>
    </row>
    <row r="34" spans="1:10" x14ac:dyDescent="0.3">
      <c r="A34" s="60">
        <v>30</v>
      </c>
      <c r="B34" s="127">
        <v>42910</v>
      </c>
      <c r="C34" s="167">
        <f t="shared" si="0"/>
        <v>2017</v>
      </c>
      <c r="D34" s="63">
        <v>5</v>
      </c>
      <c r="E34" s="63">
        <v>14</v>
      </c>
      <c r="F34" s="63">
        <v>15</v>
      </c>
      <c r="G34" s="64">
        <f t="shared" si="2"/>
        <v>5.1719200537188453E-3</v>
      </c>
      <c r="H34" s="133"/>
      <c r="I34" s="160"/>
      <c r="J34" s="61" t="s">
        <v>111</v>
      </c>
    </row>
    <row r="35" spans="1:10" x14ac:dyDescent="0.3">
      <c r="A35" s="60">
        <v>31</v>
      </c>
      <c r="B35" s="127">
        <v>42913</v>
      </c>
      <c r="C35" s="167">
        <f t="shared" si="0"/>
        <v>2017</v>
      </c>
      <c r="D35" s="63">
        <v>5</v>
      </c>
      <c r="E35" s="63">
        <v>9</v>
      </c>
      <c r="F35" s="63">
        <v>20</v>
      </c>
      <c r="G35" s="64">
        <f t="shared" si="2"/>
        <v>5.0910016545755374E-3</v>
      </c>
      <c r="H35" s="133"/>
      <c r="I35" s="160"/>
      <c r="J35" s="61" t="s">
        <v>109</v>
      </c>
    </row>
    <row r="36" spans="1:10" x14ac:dyDescent="0.3">
      <c r="A36" s="60">
        <v>32</v>
      </c>
      <c r="B36" s="127">
        <v>42918</v>
      </c>
      <c r="C36" s="167">
        <f t="shared" si="0"/>
        <v>2017</v>
      </c>
      <c r="D36" s="63">
        <v>5</v>
      </c>
      <c r="E36" s="63">
        <v>13</v>
      </c>
      <c r="F36" s="63">
        <v>19</v>
      </c>
      <c r="G36" s="64">
        <f t="shared" si="2"/>
        <v>5.1565592728645224E-3</v>
      </c>
      <c r="H36" s="133"/>
      <c r="I36" s="160"/>
      <c r="J36" s="61" t="s">
        <v>112</v>
      </c>
    </row>
    <row r="37" spans="1:10" x14ac:dyDescent="0.3">
      <c r="A37" s="60">
        <v>33</v>
      </c>
      <c r="B37" s="127">
        <v>42919</v>
      </c>
      <c r="C37" s="167">
        <f t="shared" si="0"/>
        <v>2017</v>
      </c>
      <c r="D37" s="63">
        <v>4</v>
      </c>
      <c r="E37" s="63">
        <v>58</v>
      </c>
      <c r="F37" s="63">
        <v>9</v>
      </c>
      <c r="G37" s="64">
        <f t="shared" si="2"/>
        <v>4.9069465839817767E-3</v>
      </c>
      <c r="H37" s="133"/>
      <c r="I37" s="160"/>
      <c r="J37" s="61" t="s">
        <v>113</v>
      </c>
    </row>
    <row r="38" spans="1:10" x14ac:dyDescent="0.3">
      <c r="A38" s="60">
        <v>34</v>
      </c>
      <c r="B38" s="127">
        <v>42932</v>
      </c>
      <c r="C38" s="167">
        <f t="shared" si="0"/>
        <v>2017</v>
      </c>
      <c r="D38" s="63">
        <v>5</v>
      </c>
      <c r="E38" s="63">
        <v>7</v>
      </c>
      <c r="F38" s="63">
        <v>43</v>
      </c>
      <c r="G38" s="64">
        <f t="shared" si="2"/>
        <v>5.0643945877385851E-3</v>
      </c>
      <c r="H38" s="133"/>
      <c r="I38" s="160"/>
      <c r="J38" s="61" t="s">
        <v>114</v>
      </c>
    </row>
    <row r="39" spans="1:10" x14ac:dyDescent="0.3">
      <c r="A39" s="60">
        <v>35</v>
      </c>
      <c r="B39" s="127">
        <v>42937</v>
      </c>
      <c r="C39" s="167">
        <f t="shared" si="0"/>
        <v>2017</v>
      </c>
      <c r="D39" s="63">
        <v>5</v>
      </c>
      <c r="E39" s="63">
        <v>14</v>
      </c>
      <c r="F39" s="63">
        <v>13</v>
      </c>
      <c r="G39" s="64">
        <f t="shared" si="2"/>
        <v>5.171371454402619E-3</v>
      </c>
      <c r="H39" s="133"/>
      <c r="I39" s="160"/>
      <c r="J39" s="61" t="s">
        <v>115</v>
      </c>
    </row>
    <row r="40" spans="1:10" x14ac:dyDescent="0.3">
      <c r="A40" s="60">
        <v>36</v>
      </c>
      <c r="B40" s="127">
        <v>42942</v>
      </c>
      <c r="C40" s="167">
        <f t="shared" si="0"/>
        <v>2017</v>
      </c>
      <c r="D40" s="63">
        <v>5</v>
      </c>
      <c r="E40" s="63">
        <v>37</v>
      </c>
      <c r="F40" s="63">
        <v>0</v>
      </c>
      <c r="G40" s="64">
        <f t="shared" si="2"/>
        <v>5.5463390870429622E-3</v>
      </c>
      <c r="H40" s="133"/>
      <c r="I40" s="160"/>
      <c r="J40" s="61" t="s">
        <v>110</v>
      </c>
    </row>
    <row r="41" spans="1:10" x14ac:dyDescent="0.3">
      <c r="A41" s="60">
        <v>37</v>
      </c>
      <c r="B41" s="127">
        <v>42946</v>
      </c>
      <c r="C41" s="167">
        <f t="shared" si="0"/>
        <v>2017</v>
      </c>
      <c r="D41" s="63">
        <v>5</v>
      </c>
      <c r="E41" s="63">
        <v>48</v>
      </c>
      <c r="F41" s="63">
        <v>28</v>
      </c>
      <c r="G41" s="64">
        <f t="shared" si="2"/>
        <v>5.7350572518246419E-3</v>
      </c>
      <c r="H41" s="133"/>
      <c r="I41" s="160"/>
      <c r="J41" s="61" t="s">
        <v>114</v>
      </c>
    </row>
    <row r="42" spans="1:10" x14ac:dyDescent="0.3">
      <c r="A42" s="60">
        <v>38</v>
      </c>
      <c r="B42" s="127">
        <v>42950</v>
      </c>
      <c r="C42" s="167">
        <f t="shared" si="0"/>
        <v>2017</v>
      </c>
      <c r="D42" s="63">
        <v>5</v>
      </c>
      <c r="E42" s="63">
        <v>17</v>
      </c>
      <c r="F42" s="63">
        <v>58</v>
      </c>
      <c r="G42" s="64">
        <f t="shared" si="2"/>
        <v>5.2330888774780229E-3</v>
      </c>
      <c r="H42" s="133"/>
      <c r="I42" s="160"/>
      <c r="J42" s="61" t="s">
        <v>104</v>
      </c>
    </row>
    <row r="43" spans="1:10" x14ac:dyDescent="0.3">
      <c r="A43" s="60">
        <v>39</v>
      </c>
      <c r="B43" s="127">
        <v>42957</v>
      </c>
      <c r="C43" s="167">
        <f t="shared" si="0"/>
        <v>2017</v>
      </c>
      <c r="D43" s="63">
        <v>5</v>
      </c>
      <c r="E43" s="63">
        <v>24</v>
      </c>
      <c r="F43" s="63">
        <v>13</v>
      </c>
      <c r="G43" s="64">
        <f t="shared" si="2"/>
        <v>5.3359512492703624E-3</v>
      </c>
      <c r="H43" s="133"/>
      <c r="I43" s="160"/>
      <c r="J43" s="61" t="s">
        <v>109</v>
      </c>
    </row>
    <row r="44" spans="1:10" x14ac:dyDescent="0.3">
      <c r="A44" s="60">
        <v>40</v>
      </c>
      <c r="B44" s="127">
        <v>42964</v>
      </c>
      <c r="C44" s="167">
        <f t="shared" si="0"/>
        <v>2017</v>
      </c>
      <c r="D44" s="63">
        <v>5</v>
      </c>
      <c r="E44" s="63">
        <v>24</v>
      </c>
      <c r="F44" s="63">
        <v>12</v>
      </c>
      <c r="G44" s="64">
        <f t="shared" si="2"/>
        <v>5.3356769496122501E-3</v>
      </c>
      <c r="H44" s="133"/>
      <c r="I44" s="160"/>
      <c r="J44" s="61" t="s">
        <v>104</v>
      </c>
    </row>
    <row r="45" spans="1:10" x14ac:dyDescent="0.3">
      <c r="A45" s="60">
        <v>41</v>
      </c>
      <c r="B45" s="127">
        <v>42987</v>
      </c>
      <c r="C45" s="167">
        <f t="shared" si="0"/>
        <v>2017</v>
      </c>
      <c r="D45" s="63">
        <v>5</v>
      </c>
      <c r="E45" s="63">
        <v>19</v>
      </c>
      <c r="F45" s="63">
        <v>10</v>
      </c>
      <c r="G45" s="64">
        <f t="shared" si="2"/>
        <v>5.2528384528621524E-3</v>
      </c>
      <c r="H45" s="133"/>
      <c r="I45" s="160"/>
      <c r="J45" s="61" t="s">
        <v>118</v>
      </c>
    </row>
    <row r="46" spans="1:10" x14ac:dyDescent="0.3">
      <c r="A46" s="60">
        <v>42</v>
      </c>
      <c r="B46" s="127">
        <v>43002</v>
      </c>
      <c r="C46" s="167">
        <f t="shared" si="0"/>
        <v>2017</v>
      </c>
      <c r="D46" s="63">
        <v>5</v>
      </c>
      <c r="E46" s="63">
        <v>1</v>
      </c>
      <c r="F46" s="63">
        <v>20</v>
      </c>
      <c r="G46" s="64">
        <f t="shared" si="2"/>
        <v>4.9593378186813426E-3</v>
      </c>
      <c r="H46" s="133"/>
      <c r="I46" s="160" t="s">
        <v>199</v>
      </c>
      <c r="J46" s="61" t="s">
        <v>119</v>
      </c>
    </row>
    <row r="47" spans="1:10" x14ac:dyDescent="0.3">
      <c r="A47" s="60">
        <v>43</v>
      </c>
      <c r="B47" s="127">
        <v>43013</v>
      </c>
      <c r="C47" s="167">
        <f t="shared" si="0"/>
        <v>2017</v>
      </c>
      <c r="D47" s="63">
        <v>5</v>
      </c>
      <c r="E47" s="63">
        <v>24</v>
      </c>
      <c r="F47" s="63">
        <v>18</v>
      </c>
      <c r="G47" s="64">
        <f t="shared" si="2"/>
        <v>5.3373227475609275E-3</v>
      </c>
      <c r="H47" s="133"/>
      <c r="I47" s="160"/>
      <c r="J47" s="61" t="s">
        <v>109</v>
      </c>
    </row>
    <row r="48" spans="1:10" x14ac:dyDescent="0.3">
      <c r="A48" s="60">
        <v>44</v>
      </c>
      <c r="B48" s="127">
        <v>43025</v>
      </c>
      <c r="C48" s="167">
        <f t="shared" si="0"/>
        <v>2017</v>
      </c>
      <c r="D48" s="63">
        <v>5</v>
      </c>
      <c r="E48" s="63">
        <v>9</v>
      </c>
      <c r="F48" s="63">
        <v>38</v>
      </c>
      <c r="G48" s="64">
        <f t="shared" si="2"/>
        <v>5.0959390484215704E-3</v>
      </c>
      <c r="H48" s="133"/>
      <c r="I48" s="160"/>
      <c r="J48" s="61" t="s">
        <v>127</v>
      </c>
    </row>
    <row r="49" spans="1:10" x14ac:dyDescent="0.3">
      <c r="A49" s="60">
        <v>45</v>
      </c>
      <c r="B49" s="127">
        <v>43030</v>
      </c>
      <c r="C49" s="167">
        <f t="shared" si="0"/>
        <v>2017</v>
      </c>
      <c r="D49" s="63">
        <v>5</v>
      </c>
      <c r="E49" s="63">
        <v>31</v>
      </c>
      <c r="F49" s="63">
        <v>40</v>
      </c>
      <c r="G49" s="64">
        <f t="shared" si="2"/>
        <v>5.4585631964468315E-3</v>
      </c>
      <c r="H49" s="133"/>
      <c r="I49" s="160"/>
      <c r="J49" s="61" t="s">
        <v>126</v>
      </c>
    </row>
    <row r="50" spans="1:10" x14ac:dyDescent="0.3">
      <c r="A50" s="60">
        <v>46</v>
      </c>
      <c r="B50" s="127">
        <v>43051</v>
      </c>
      <c r="C50" s="167">
        <f t="shared" si="0"/>
        <v>2017</v>
      </c>
      <c r="D50" s="63">
        <v>5</v>
      </c>
      <c r="E50" s="63">
        <v>29</v>
      </c>
      <c r="F50" s="63">
        <v>32</v>
      </c>
      <c r="G50" s="64">
        <f t="shared" si="2"/>
        <v>5.423452840208379E-3</v>
      </c>
      <c r="H50" s="133"/>
      <c r="I50" s="160"/>
      <c r="J50" s="61" t="s">
        <v>125</v>
      </c>
    </row>
    <row r="51" spans="1:10" x14ac:dyDescent="0.3">
      <c r="A51" s="60">
        <v>47</v>
      </c>
      <c r="B51" s="127">
        <v>43069</v>
      </c>
      <c r="C51" s="167">
        <f t="shared" si="0"/>
        <v>2017</v>
      </c>
      <c r="D51" s="63">
        <v>4</v>
      </c>
      <c r="E51" s="63">
        <v>57</v>
      </c>
      <c r="F51" s="63">
        <v>3</v>
      </c>
      <c r="G51" s="64">
        <f t="shared" si="2"/>
        <v>4.8888428065463263E-3</v>
      </c>
      <c r="H51" s="133"/>
      <c r="I51" s="160"/>
      <c r="J51" s="61" t="s">
        <v>124</v>
      </c>
    </row>
    <row r="52" spans="1:10" x14ac:dyDescent="0.3">
      <c r="A52" s="60">
        <v>48</v>
      </c>
      <c r="B52" s="127">
        <v>43078</v>
      </c>
      <c r="C52" s="167">
        <f t="shared" si="0"/>
        <v>2017</v>
      </c>
      <c r="D52" s="63">
        <v>5</v>
      </c>
      <c r="E52" s="63">
        <v>29</v>
      </c>
      <c r="F52" s="63">
        <v>20</v>
      </c>
      <c r="G52" s="64">
        <f t="shared" si="2"/>
        <v>5.4201612443110251E-3</v>
      </c>
      <c r="H52" s="133"/>
      <c r="I52" s="160"/>
      <c r="J52" s="61" t="s">
        <v>123</v>
      </c>
    </row>
    <row r="53" spans="1:10" x14ac:dyDescent="0.3">
      <c r="A53" s="60">
        <v>49</v>
      </c>
      <c r="B53" s="127">
        <v>43092</v>
      </c>
      <c r="C53" s="167">
        <f t="shared" si="0"/>
        <v>2017</v>
      </c>
      <c r="D53" s="63">
        <v>4</v>
      </c>
      <c r="E53" s="63">
        <v>56</v>
      </c>
      <c r="F53" s="63">
        <v>57</v>
      </c>
      <c r="G53" s="64">
        <f t="shared" si="2"/>
        <v>4.8871970085976489E-3</v>
      </c>
      <c r="H53" s="133"/>
      <c r="I53" s="160"/>
      <c r="J53" s="61" t="s">
        <v>122</v>
      </c>
    </row>
    <row r="54" spans="1:10" x14ac:dyDescent="0.3">
      <c r="A54" s="60">
        <v>50</v>
      </c>
      <c r="B54" s="127">
        <v>43096</v>
      </c>
      <c r="C54" s="167">
        <f t="shared" si="0"/>
        <v>2017</v>
      </c>
      <c r="D54" s="63">
        <v>5</v>
      </c>
      <c r="E54" s="63">
        <v>7</v>
      </c>
      <c r="F54" s="63">
        <v>50</v>
      </c>
      <c r="G54" s="64">
        <f t="shared" si="2"/>
        <v>5.0663146853453765E-3</v>
      </c>
      <c r="H54" s="133"/>
      <c r="I54" s="160"/>
      <c r="J54" s="61" t="s">
        <v>131</v>
      </c>
    </row>
    <row r="55" spans="1:10" x14ac:dyDescent="0.3">
      <c r="A55" s="60">
        <v>51</v>
      </c>
      <c r="B55" s="127">
        <v>43113</v>
      </c>
      <c r="C55" s="167">
        <f t="shared" si="0"/>
        <v>2018</v>
      </c>
      <c r="D55" s="63">
        <v>5</v>
      </c>
      <c r="E55" s="63">
        <v>6</v>
      </c>
      <c r="F55" s="63">
        <v>49</v>
      </c>
      <c r="G55" s="64">
        <f t="shared" si="2"/>
        <v>5.0495824062004886E-3</v>
      </c>
      <c r="H55" s="133"/>
      <c r="I55" s="160"/>
      <c r="J55" s="61" t="s">
        <v>162</v>
      </c>
    </row>
    <row r="56" spans="1:10" x14ac:dyDescent="0.3">
      <c r="A56" s="60">
        <v>52</v>
      </c>
      <c r="B56" s="127">
        <v>43117</v>
      </c>
      <c r="C56" s="167">
        <f t="shared" si="0"/>
        <v>2018</v>
      </c>
      <c r="D56" s="63">
        <v>5</v>
      </c>
      <c r="E56" s="63">
        <v>15</v>
      </c>
      <c r="F56" s="63">
        <v>8</v>
      </c>
      <c r="G56" s="64">
        <f t="shared" ref="G56:G103" si="3">TIME(D56,E56,F56)/42.195</f>
        <v>5.1864579355988295E-3</v>
      </c>
      <c r="H56" s="133"/>
      <c r="I56" s="160"/>
      <c r="J56" s="61" t="s">
        <v>163</v>
      </c>
    </row>
    <row r="57" spans="1:10" x14ac:dyDescent="0.3">
      <c r="A57" s="60">
        <v>53</v>
      </c>
      <c r="B57" s="127">
        <v>43132</v>
      </c>
      <c r="C57" s="167">
        <f t="shared" si="0"/>
        <v>2018</v>
      </c>
      <c r="D57" s="63">
        <v>4</v>
      </c>
      <c r="E57" s="63">
        <v>59</v>
      </c>
      <c r="F57" s="63">
        <v>21</v>
      </c>
      <c r="G57" s="64">
        <f t="shared" si="3"/>
        <v>4.9266961593659071E-3</v>
      </c>
      <c r="H57" s="133"/>
      <c r="I57" s="160"/>
      <c r="J57" s="61" t="s">
        <v>124</v>
      </c>
    </row>
    <row r="58" spans="1:10" x14ac:dyDescent="0.3">
      <c r="A58" s="60">
        <v>54</v>
      </c>
      <c r="B58" s="127">
        <v>43146</v>
      </c>
      <c r="C58" s="167">
        <f t="shared" si="0"/>
        <v>2018</v>
      </c>
      <c r="D58" s="63">
        <v>4</v>
      </c>
      <c r="E58" s="63">
        <v>58</v>
      </c>
      <c r="F58" s="63">
        <v>0</v>
      </c>
      <c r="G58" s="64">
        <f t="shared" si="3"/>
        <v>4.9044778870587615E-3</v>
      </c>
      <c r="H58" s="133"/>
      <c r="I58" s="160"/>
      <c r="J58" s="61" t="s">
        <v>164</v>
      </c>
    </row>
    <row r="59" spans="1:10" x14ac:dyDescent="0.3">
      <c r="A59" s="60">
        <v>55</v>
      </c>
      <c r="B59" s="127">
        <v>43155</v>
      </c>
      <c r="C59" s="167">
        <f t="shared" si="0"/>
        <v>2018</v>
      </c>
      <c r="D59" s="63">
        <v>4</v>
      </c>
      <c r="E59" s="63">
        <v>56</v>
      </c>
      <c r="F59" s="63">
        <v>13</v>
      </c>
      <c r="G59" s="64">
        <f t="shared" si="3"/>
        <v>4.8751278236406808E-3</v>
      </c>
      <c r="H59" s="133"/>
      <c r="I59" s="160"/>
      <c r="J59" s="61" t="s">
        <v>165</v>
      </c>
    </row>
    <row r="60" spans="1:10" x14ac:dyDescent="0.3">
      <c r="A60" s="60">
        <v>56</v>
      </c>
      <c r="B60" s="127">
        <v>43160</v>
      </c>
      <c r="C60" s="167">
        <f t="shared" si="0"/>
        <v>2018</v>
      </c>
      <c r="D60" s="63">
        <v>5</v>
      </c>
      <c r="E60" s="63">
        <v>22</v>
      </c>
      <c r="F60" s="63">
        <v>54</v>
      </c>
      <c r="G60" s="64">
        <f t="shared" si="3"/>
        <v>5.3142815762794431E-3</v>
      </c>
      <c r="H60" s="133"/>
      <c r="I60" s="160"/>
      <c r="J60" s="61" t="s">
        <v>164</v>
      </c>
    </row>
    <row r="61" spans="1:10" x14ac:dyDescent="0.3">
      <c r="A61" s="60">
        <v>57</v>
      </c>
      <c r="B61" s="127">
        <v>43188</v>
      </c>
      <c r="C61" s="167">
        <f t="shared" si="0"/>
        <v>2018</v>
      </c>
      <c r="D61" s="63">
        <v>5</v>
      </c>
      <c r="E61" s="63">
        <v>36</v>
      </c>
      <c r="F61" s="63">
        <v>38</v>
      </c>
      <c r="G61" s="64">
        <f t="shared" si="3"/>
        <v>5.5403044945644773E-3</v>
      </c>
      <c r="H61" s="133"/>
      <c r="I61" s="160"/>
      <c r="J61" s="61" t="s">
        <v>166</v>
      </c>
    </row>
    <row r="62" spans="1:10" x14ac:dyDescent="0.3">
      <c r="A62" s="60">
        <v>58</v>
      </c>
      <c r="B62" s="127">
        <v>43195</v>
      </c>
      <c r="C62" s="167">
        <f t="shared" si="0"/>
        <v>2018</v>
      </c>
      <c r="D62" s="63">
        <v>5</v>
      </c>
      <c r="E62" s="63">
        <v>11</v>
      </c>
      <c r="F62" s="63">
        <v>32</v>
      </c>
      <c r="G62" s="64">
        <f t="shared" si="3"/>
        <v>5.1272092094464409E-3</v>
      </c>
      <c r="H62" s="133"/>
      <c r="I62" s="160"/>
      <c r="J62" s="61" t="s">
        <v>167</v>
      </c>
    </row>
    <row r="63" spans="1:10" x14ac:dyDescent="0.3">
      <c r="A63" s="60">
        <v>59</v>
      </c>
      <c r="B63" s="127">
        <v>43217</v>
      </c>
      <c r="C63" s="167">
        <f t="shared" si="0"/>
        <v>2018</v>
      </c>
      <c r="D63" s="63">
        <v>5</v>
      </c>
      <c r="E63" s="63">
        <v>17</v>
      </c>
      <c r="F63" s="63">
        <v>15</v>
      </c>
      <c r="G63" s="64">
        <f t="shared" si="3"/>
        <v>5.2212939921791679E-3</v>
      </c>
      <c r="H63" s="133"/>
      <c r="I63" s="160"/>
      <c r="J63" s="61" t="s">
        <v>168</v>
      </c>
    </row>
    <row r="64" spans="1:10" x14ac:dyDescent="0.3">
      <c r="A64" s="60">
        <v>60</v>
      </c>
      <c r="B64" s="127">
        <v>43221</v>
      </c>
      <c r="C64" s="167">
        <f t="shared" si="0"/>
        <v>2018</v>
      </c>
      <c r="D64" s="63">
        <v>5</v>
      </c>
      <c r="E64" s="63">
        <v>5</v>
      </c>
      <c r="F64" s="63">
        <v>53</v>
      </c>
      <c r="G64" s="64">
        <f t="shared" si="3"/>
        <v>5.0342216253461665E-3</v>
      </c>
      <c r="H64" s="133"/>
      <c r="I64" s="160"/>
      <c r="J64" s="61" t="s">
        <v>169</v>
      </c>
    </row>
    <row r="65" spans="1:10" x14ac:dyDescent="0.3">
      <c r="A65" s="60">
        <v>61</v>
      </c>
      <c r="B65" s="127">
        <v>43247</v>
      </c>
      <c r="C65" s="167">
        <f t="shared" si="0"/>
        <v>2018</v>
      </c>
      <c r="D65" s="63">
        <v>5</v>
      </c>
      <c r="E65" s="63">
        <v>28</v>
      </c>
      <c r="F65" s="63">
        <v>7</v>
      </c>
      <c r="G65" s="64">
        <f t="shared" si="3"/>
        <v>5.4001373692687833E-3</v>
      </c>
      <c r="H65" s="133"/>
      <c r="I65" s="160"/>
      <c r="J65" s="61" t="s">
        <v>171</v>
      </c>
    </row>
    <row r="66" spans="1:10" x14ac:dyDescent="0.3">
      <c r="A66" s="60">
        <v>62</v>
      </c>
      <c r="B66" s="127">
        <v>43253</v>
      </c>
      <c r="C66" s="167">
        <f t="shared" si="0"/>
        <v>2018</v>
      </c>
      <c r="D66" s="63">
        <v>5</v>
      </c>
      <c r="E66" s="63">
        <v>49</v>
      </c>
      <c r="F66" s="63">
        <v>15</v>
      </c>
      <c r="G66" s="64">
        <f t="shared" si="3"/>
        <v>5.7479493357559469E-3</v>
      </c>
      <c r="H66" s="133"/>
      <c r="I66" s="160"/>
      <c r="J66" s="61" t="s">
        <v>206</v>
      </c>
    </row>
    <row r="67" spans="1:10" x14ac:dyDescent="0.3">
      <c r="A67" s="60">
        <v>63</v>
      </c>
      <c r="B67" s="127">
        <v>43256</v>
      </c>
      <c r="C67" s="167">
        <f t="shared" si="0"/>
        <v>2018</v>
      </c>
      <c r="D67" s="63">
        <v>5</v>
      </c>
      <c r="E67" s="63">
        <v>28</v>
      </c>
      <c r="F67" s="63">
        <v>58</v>
      </c>
      <c r="G67" s="64">
        <f t="shared" si="3"/>
        <v>5.4141266518325411E-3</v>
      </c>
      <c r="H67" s="133"/>
      <c r="I67" s="160"/>
      <c r="J67" s="61" t="s">
        <v>124</v>
      </c>
    </row>
    <row r="68" spans="1:10" x14ac:dyDescent="0.3">
      <c r="A68" s="60">
        <v>64</v>
      </c>
      <c r="B68" s="127">
        <v>43261</v>
      </c>
      <c r="C68" s="167">
        <f t="shared" si="0"/>
        <v>2018</v>
      </c>
      <c r="D68" s="63">
        <v>5</v>
      </c>
      <c r="E68" s="63">
        <v>37</v>
      </c>
      <c r="F68" s="63">
        <v>6</v>
      </c>
      <c r="G68" s="64">
        <f t="shared" si="3"/>
        <v>5.5479848849916387E-3</v>
      </c>
      <c r="H68" s="133"/>
      <c r="I68" s="160"/>
      <c r="J68" s="61" t="s">
        <v>172</v>
      </c>
    </row>
    <row r="69" spans="1:10" x14ac:dyDescent="0.3">
      <c r="A69" s="60">
        <v>65</v>
      </c>
      <c r="B69" s="127">
        <v>43267</v>
      </c>
      <c r="C69" s="167">
        <f t="shared" si="0"/>
        <v>2018</v>
      </c>
      <c r="D69" s="63">
        <v>5</v>
      </c>
      <c r="E69" s="63">
        <v>21</v>
      </c>
      <c r="F69" s="63">
        <v>15</v>
      </c>
      <c r="G69" s="64">
        <f t="shared" si="3"/>
        <v>5.2871259101262662E-3</v>
      </c>
      <c r="H69" s="133"/>
      <c r="I69" s="160"/>
      <c r="J69" s="61" t="s">
        <v>170</v>
      </c>
    </row>
    <row r="70" spans="1:10" x14ac:dyDescent="0.3">
      <c r="A70" s="60">
        <v>66</v>
      </c>
      <c r="B70" s="127">
        <v>43271</v>
      </c>
      <c r="C70" s="167">
        <f t="shared" ref="C70:C104" si="4">YEAR(B70)</f>
        <v>2018</v>
      </c>
      <c r="D70" s="63">
        <v>5</v>
      </c>
      <c r="E70" s="63">
        <v>18</v>
      </c>
      <c r="F70" s="63">
        <v>17</v>
      </c>
      <c r="G70" s="64">
        <f t="shared" si="3"/>
        <v>5.2383005709821674E-3</v>
      </c>
      <c r="H70" s="133"/>
      <c r="I70" s="160"/>
      <c r="J70" s="61" t="s">
        <v>173</v>
      </c>
    </row>
    <row r="71" spans="1:10" x14ac:dyDescent="0.3">
      <c r="A71" s="60">
        <v>67</v>
      </c>
      <c r="B71" s="127">
        <v>43275</v>
      </c>
      <c r="C71" s="167">
        <f t="shared" si="4"/>
        <v>2018</v>
      </c>
      <c r="D71" s="63">
        <v>5</v>
      </c>
      <c r="E71" s="63">
        <v>1</v>
      </c>
      <c r="F71" s="63">
        <v>56</v>
      </c>
      <c r="G71" s="64">
        <f t="shared" si="3"/>
        <v>4.969212606373407E-3</v>
      </c>
      <c r="H71" s="133"/>
      <c r="I71" s="160"/>
      <c r="J71" s="61" t="s">
        <v>174</v>
      </c>
    </row>
    <row r="72" spans="1:10" x14ac:dyDescent="0.3">
      <c r="A72" s="60">
        <v>68</v>
      </c>
      <c r="B72" s="127">
        <v>43281</v>
      </c>
      <c r="C72" s="167">
        <f t="shared" si="4"/>
        <v>2018</v>
      </c>
      <c r="D72" s="63">
        <v>5</v>
      </c>
      <c r="E72" s="63">
        <v>8</v>
      </c>
      <c r="F72" s="63">
        <v>54</v>
      </c>
      <c r="G72" s="64">
        <f t="shared" si="3"/>
        <v>5.0838698634646023E-3</v>
      </c>
      <c r="H72" s="133"/>
      <c r="I72" s="160"/>
      <c r="J72" s="61" t="s">
        <v>175</v>
      </c>
    </row>
    <row r="73" spans="1:10" x14ac:dyDescent="0.3">
      <c r="A73" s="60">
        <v>69</v>
      </c>
      <c r="B73" s="127">
        <v>43282</v>
      </c>
      <c r="C73" s="167">
        <f t="shared" si="4"/>
        <v>2018</v>
      </c>
      <c r="D73" s="63">
        <v>5</v>
      </c>
      <c r="E73" s="63">
        <v>29</v>
      </c>
      <c r="F73" s="63">
        <v>15</v>
      </c>
      <c r="G73" s="64">
        <f t="shared" si="3"/>
        <v>5.4187897460204601E-3</v>
      </c>
      <c r="H73" s="133"/>
      <c r="I73" s="160"/>
      <c r="J73" s="61" t="s">
        <v>207</v>
      </c>
    </row>
    <row r="74" spans="1:10" x14ac:dyDescent="0.3">
      <c r="A74" s="60">
        <v>70</v>
      </c>
      <c r="B74" s="127">
        <v>43303</v>
      </c>
      <c r="C74" s="167">
        <f t="shared" si="4"/>
        <v>2018</v>
      </c>
      <c r="D74" s="63">
        <v>5</v>
      </c>
      <c r="E74" s="63">
        <v>38</v>
      </c>
      <c r="F74" s="63">
        <v>28</v>
      </c>
      <c r="G74" s="64">
        <f t="shared" si="3"/>
        <v>5.5704774569568976E-3</v>
      </c>
      <c r="H74" s="133"/>
      <c r="I74" s="160"/>
      <c r="J74" s="61" t="s">
        <v>175</v>
      </c>
    </row>
    <row r="75" spans="1:10" x14ac:dyDescent="0.3">
      <c r="A75" s="60">
        <v>71</v>
      </c>
      <c r="B75" s="127">
        <v>43306</v>
      </c>
      <c r="C75" s="167">
        <f t="shared" si="4"/>
        <v>2018</v>
      </c>
      <c r="D75" s="63">
        <v>6</v>
      </c>
      <c r="E75" s="63">
        <v>18</v>
      </c>
      <c r="F75" s="63">
        <v>54</v>
      </c>
      <c r="G75" s="64">
        <f t="shared" si="3"/>
        <v>6.2359284275388081E-3</v>
      </c>
      <c r="H75" s="133"/>
      <c r="I75" s="160"/>
      <c r="J75" s="61" t="s">
        <v>183</v>
      </c>
    </row>
    <row r="76" spans="1:10" x14ac:dyDescent="0.3">
      <c r="A76" s="60">
        <v>72</v>
      </c>
      <c r="B76" s="127">
        <v>43249</v>
      </c>
      <c r="C76" s="167">
        <f t="shared" si="4"/>
        <v>2018</v>
      </c>
      <c r="D76" s="63">
        <v>5</v>
      </c>
      <c r="E76" s="63">
        <v>27</v>
      </c>
      <c r="F76" s="63">
        <v>5</v>
      </c>
      <c r="G76" s="64">
        <f t="shared" si="3"/>
        <v>5.383130790465783E-3</v>
      </c>
      <c r="H76" s="133"/>
      <c r="I76" s="160"/>
      <c r="J76" s="61" t="s">
        <v>175</v>
      </c>
    </row>
    <row r="77" spans="1:10" x14ac:dyDescent="0.3">
      <c r="A77" s="60">
        <v>73</v>
      </c>
      <c r="B77" s="127">
        <v>43321</v>
      </c>
      <c r="C77" s="167">
        <f t="shared" si="4"/>
        <v>2018</v>
      </c>
      <c r="D77" s="63">
        <v>5</v>
      </c>
      <c r="E77" s="63">
        <v>44</v>
      </c>
      <c r="F77" s="63">
        <v>32</v>
      </c>
      <c r="G77" s="64">
        <f t="shared" si="3"/>
        <v>5.6703225325099955E-3</v>
      </c>
      <c r="H77" s="133"/>
      <c r="I77" s="160"/>
      <c r="J77" s="61" t="s">
        <v>184</v>
      </c>
    </row>
    <row r="78" spans="1:10" x14ac:dyDescent="0.3">
      <c r="A78" s="60">
        <v>74</v>
      </c>
      <c r="B78" s="127">
        <v>43324</v>
      </c>
      <c r="C78" s="167">
        <f t="shared" si="4"/>
        <v>2018</v>
      </c>
      <c r="D78" s="63">
        <v>5</v>
      </c>
      <c r="E78" s="63">
        <v>12</v>
      </c>
      <c r="F78" s="63">
        <v>7</v>
      </c>
      <c r="G78" s="64">
        <f t="shared" si="3"/>
        <v>5.1368096974803929E-3</v>
      </c>
      <c r="H78" s="133"/>
      <c r="I78" s="160"/>
      <c r="J78" s="61" t="s">
        <v>175</v>
      </c>
    </row>
    <row r="79" spans="1:10" x14ac:dyDescent="0.3">
      <c r="A79" s="60">
        <v>75</v>
      </c>
      <c r="B79" s="127">
        <v>43335</v>
      </c>
      <c r="C79" s="167">
        <f t="shared" si="4"/>
        <v>2018</v>
      </c>
      <c r="D79" s="63">
        <v>6</v>
      </c>
      <c r="E79" s="63">
        <v>6</v>
      </c>
      <c r="F79" s="63">
        <v>54</v>
      </c>
      <c r="G79" s="64">
        <f t="shared" si="3"/>
        <v>6.038432673697516E-3</v>
      </c>
      <c r="H79" s="133"/>
      <c r="I79" s="160"/>
      <c r="J79" s="61" t="s">
        <v>200</v>
      </c>
    </row>
    <row r="80" spans="1:10" x14ac:dyDescent="0.3">
      <c r="A80" s="60">
        <v>76</v>
      </c>
      <c r="B80" s="127">
        <v>43338</v>
      </c>
      <c r="C80" s="167">
        <f t="shared" si="4"/>
        <v>2018</v>
      </c>
      <c r="D80" s="63">
        <v>5</v>
      </c>
      <c r="E80" s="63">
        <v>27</v>
      </c>
      <c r="F80" s="63">
        <v>54</v>
      </c>
      <c r="G80" s="64">
        <f t="shared" si="3"/>
        <v>5.3965714737133144E-3</v>
      </c>
      <c r="H80" s="133"/>
      <c r="I80" s="160"/>
      <c r="J80" s="61" t="s">
        <v>173</v>
      </c>
    </row>
    <row r="81" spans="1:10" x14ac:dyDescent="0.3">
      <c r="A81" s="60">
        <v>77</v>
      </c>
      <c r="B81" s="127">
        <v>43344</v>
      </c>
      <c r="C81" s="167">
        <f t="shared" si="4"/>
        <v>2018</v>
      </c>
      <c r="D81" s="63">
        <v>5</v>
      </c>
      <c r="E81" s="63">
        <v>24</v>
      </c>
      <c r="F81" s="63">
        <v>50</v>
      </c>
      <c r="G81" s="64">
        <f t="shared" si="3"/>
        <v>5.3461003366205399E-3</v>
      </c>
      <c r="H81" s="133"/>
      <c r="I81" s="160"/>
      <c r="J81" s="61" t="s">
        <v>201</v>
      </c>
    </row>
    <row r="82" spans="1:10" x14ac:dyDescent="0.3">
      <c r="A82" s="60">
        <v>78</v>
      </c>
      <c r="B82" s="127">
        <v>43362</v>
      </c>
      <c r="C82" s="167">
        <f t="shared" si="4"/>
        <v>2018</v>
      </c>
      <c r="D82" s="63">
        <v>6</v>
      </c>
      <c r="E82" s="63">
        <v>12</v>
      </c>
      <c r="F82" s="63">
        <v>10</v>
      </c>
      <c r="G82" s="64">
        <f t="shared" si="3"/>
        <v>6.125111365661194E-3</v>
      </c>
      <c r="H82" s="133"/>
      <c r="I82" s="160"/>
      <c r="J82" s="61" t="s">
        <v>110</v>
      </c>
    </row>
    <row r="83" spans="1:10" x14ac:dyDescent="0.3">
      <c r="A83" s="60">
        <v>79</v>
      </c>
      <c r="B83" s="127">
        <v>43366</v>
      </c>
      <c r="C83" s="167">
        <f t="shared" si="4"/>
        <v>2018</v>
      </c>
      <c r="D83" s="63">
        <v>5</v>
      </c>
      <c r="E83" s="63">
        <v>49</v>
      </c>
      <c r="F83" s="63">
        <v>44</v>
      </c>
      <c r="G83" s="64">
        <f t="shared" si="3"/>
        <v>5.7559040258412224E-3</v>
      </c>
      <c r="H83" s="133"/>
      <c r="I83" s="160"/>
      <c r="J83" s="61" t="s">
        <v>208</v>
      </c>
    </row>
    <row r="84" spans="1:10" x14ac:dyDescent="0.3">
      <c r="A84" s="60">
        <v>80</v>
      </c>
      <c r="B84" s="127">
        <v>43379</v>
      </c>
      <c r="C84" s="167">
        <f t="shared" si="4"/>
        <v>2018</v>
      </c>
      <c r="D84" s="63">
        <v>5</v>
      </c>
      <c r="E84" s="63">
        <v>25</v>
      </c>
      <c r="F84" s="63">
        <v>28</v>
      </c>
      <c r="G84" s="64">
        <f t="shared" si="3"/>
        <v>5.3565237236288307E-3</v>
      </c>
      <c r="H84" s="133"/>
      <c r="I84" s="160" t="s">
        <v>199</v>
      </c>
      <c r="J84" s="61" t="s">
        <v>202</v>
      </c>
    </row>
    <row r="85" spans="1:10" x14ac:dyDescent="0.3">
      <c r="A85" s="60">
        <v>81</v>
      </c>
      <c r="B85" s="127"/>
      <c r="C85" s="167">
        <f t="shared" si="4"/>
        <v>1900</v>
      </c>
      <c r="D85" s="63"/>
      <c r="E85" s="63"/>
      <c r="F85" s="63"/>
      <c r="G85" s="64">
        <f t="shared" si="3"/>
        <v>0</v>
      </c>
      <c r="H85" s="133"/>
      <c r="I85" s="160"/>
      <c r="J85" s="61"/>
    </row>
    <row r="86" spans="1:10" x14ac:dyDescent="0.3">
      <c r="A86" s="60">
        <v>82</v>
      </c>
      <c r="B86" s="127"/>
      <c r="C86" s="167">
        <f t="shared" si="4"/>
        <v>1900</v>
      </c>
      <c r="D86" s="63"/>
      <c r="E86" s="63"/>
      <c r="F86" s="63"/>
      <c r="G86" s="64">
        <f t="shared" si="3"/>
        <v>0</v>
      </c>
      <c r="H86" s="133"/>
      <c r="I86" s="160"/>
      <c r="J86" s="61"/>
    </row>
    <row r="87" spans="1:10" x14ac:dyDescent="0.3">
      <c r="A87" s="60">
        <v>83</v>
      </c>
      <c r="B87" s="127"/>
      <c r="C87" s="167">
        <f t="shared" si="4"/>
        <v>1900</v>
      </c>
      <c r="D87" s="63"/>
      <c r="E87" s="63"/>
      <c r="F87" s="63"/>
      <c r="G87" s="64">
        <f t="shared" si="3"/>
        <v>0</v>
      </c>
      <c r="H87" s="133"/>
      <c r="I87" s="160"/>
      <c r="J87" s="61"/>
    </row>
    <row r="88" spans="1:10" x14ac:dyDescent="0.3">
      <c r="A88" s="60">
        <v>84</v>
      </c>
      <c r="B88" s="127"/>
      <c r="C88" s="167">
        <f t="shared" si="4"/>
        <v>1900</v>
      </c>
      <c r="D88" s="63"/>
      <c r="E88" s="63"/>
      <c r="F88" s="63"/>
      <c r="G88" s="64">
        <f t="shared" si="3"/>
        <v>0</v>
      </c>
      <c r="H88" s="133"/>
      <c r="I88" s="160"/>
      <c r="J88" s="61"/>
    </row>
    <row r="89" spans="1:10" x14ac:dyDescent="0.3">
      <c r="A89" s="60">
        <v>85</v>
      </c>
      <c r="B89" s="127"/>
      <c r="C89" s="167">
        <f t="shared" si="4"/>
        <v>1900</v>
      </c>
      <c r="D89" s="63"/>
      <c r="E89" s="63"/>
      <c r="F89" s="63"/>
      <c r="G89" s="64">
        <f t="shared" si="3"/>
        <v>0</v>
      </c>
      <c r="H89" s="133"/>
      <c r="I89" s="160"/>
      <c r="J89" s="61"/>
    </row>
    <row r="90" spans="1:10" x14ac:dyDescent="0.3">
      <c r="A90" s="60">
        <v>86</v>
      </c>
      <c r="B90" s="127"/>
      <c r="C90" s="167">
        <f t="shared" si="4"/>
        <v>1900</v>
      </c>
      <c r="D90" s="63"/>
      <c r="E90" s="63"/>
      <c r="F90" s="63"/>
      <c r="G90" s="64">
        <f t="shared" si="3"/>
        <v>0</v>
      </c>
      <c r="H90" s="133"/>
      <c r="I90" s="160"/>
      <c r="J90" s="61"/>
    </row>
    <row r="91" spans="1:10" x14ac:dyDescent="0.3">
      <c r="A91" s="60">
        <v>87</v>
      </c>
      <c r="B91" s="127"/>
      <c r="C91" s="167">
        <f t="shared" si="4"/>
        <v>1900</v>
      </c>
      <c r="D91" s="63"/>
      <c r="E91" s="63"/>
      <c r="F91" s="63"/>
      <c r="G91" s="64">
        <f t="shared" si="3"/>
        <v>0</v>
      </c>
      <c r="H91" s="133"/>
      <c r="I91" s="160"/>
      <c r="J91" s="61"/>
    </row>
    <row r="92" spans="1:10" x14ac:dyDescent="0.3">
      <c r="A92" s="60">
        <v>88</v>
      </c>
      <c r="B92" s="127"/>
      <c r="C92" s="167">
        <f t="shared" si="4"/>
        <v>1900</v>
      </c>
      <c r="D92" s="63"/>
      <c r="E92" s="63"/>
      <c r="F92" s="63"/>
      <c r="G92" s="64">
        <f t="shared" si="3"/>
        <v>0</v>
      </c>
      <c r="H92" s="133"/>
      <c r="I92" s="160"/>
      <c r="J92" s="61"/>
    </row>
    <row r="93" spans="1:10" x14ac:dyDescent="0.3">
      <c r="A93" s="60">
        <v>89</v>
      </c>
      <c r="B93" s="127"/>
      <c r="C93" s="167">
        <f t="shared" si="4"/>
        <v>1900</v>
      </c>
      <c r="D93" s="63"/>
      <c r="E93" s="63"/>
      <c r="F93" s="63"/>
      <c r="G93" s="64">
        <f t="shared" si="3"/>
        <v>0</v>
      </c>
      <c r="H93" s="133"/>
      <c r="I93" s="160"/>
      <c r="J93" s="61"/>
    </row>
    <row r="94" spans="1:10" x14ac:dyDescent="0.3">
      <c r="A94" s="60">
        <v>90</v>
      </c>
      <c r="B94" s="127"/>
      <c r="C94" s="167">
        <f t="shared" si="4"/>
        <v>1900</v>
      </c>
      <c r="D94" s="63"/>
      <c r="E94" s="63"/>
      <c r="F94" s="63"/>
      <c r="G94" s="64">
        <f t="shared" si="3"/>
        <v>0</v>
      </c>
      <c r="H94" s="133"/>
      <c r="I94" s="160"/>
      <c r="J94" s="61"/>
    </row>
    <row r="95" spans="1:10" x14ac:dyDescent="0.3">
      <c r="A95" s="60">
        <v>91</v>
      </c>
      <c r="B95" s="127"/>
      <c r="C95" s="167">
        <f t="shared" si="4"/>
        <v>1900</v>
      </c>
      <c r="D95" s="63"/>
      <c r="E95" s="63"/>
      <c r="F95" s="63"/>
      <c r="G95" s="64">
        <f t="shared" si="3"/>
        <v>0</v>
      </c>
      <c r="H95" s="133"/>
      <c r="I95" s="160"/>
      <c r="J95" s="61"/>
    </row>
    <row r="96" spans="1:10" x14ac:dyDescent="0.3">
      <c r="A96" s="60">
        <v>92</v>
      </c>
      <c r="B96" s="127"/>
      <c r="C96" s="167">
        <f t="shared" si="4"/>
        <v>1900</v>
      </c>
      <c r="D96" s="63"/>
      <c r="E96" s="63"/>
      <c r="F96" s="63"/>
      <c r="G96" s="64">
        <f t="shared" si="3"/>
        <v>0</v>
      </c>
      <c r="H96" s="133"/>
      <c r="I96" s="160"/>
      <c r="J96" s="61"/>
    </row>
    <row r="97" spans="1:10" x14ac:dyDescent="0.3">
      <c r="A97" s="60">
        <v>93</v>
      </c>
      <c r="B97" s="127"/>
      <c r="C97" s="167">
        <f t="shared" si="4"/>
        <v>1900</v>
      </c>
      <c r="D97" s="63"/>
      <c r="E97" s="63"/>
      <c r="F97" s="63"/>
      <c r="G97" s="64">
        <f t="shared" si="3"/>
        <v>0</v>
      </c>
      <c r="H97" s="133"/>
      <c r="I97" s="160"/>
      <c r="J97" s="61"/>
    </row>
    <row r="98" spans="1:10" x14ac:dyDescent="0.3">
      <c r="A98" s="60">
        <v>94</v>
      </c>
      <c r="B98" s="127"/>
      <c r="C98" s="167">
        <f t="shared" si="4"/>
        <v>1900</v>
      </c>
      <c r="D98" s="63"/>
      <c r="E98" s="63"/>
      <c r="F98" s="63"/>
      <c r="G98" s="64">
        <f t="shared" si="3"/>
        <v>0</v>
      </c>
      <c r="H98" s="133"/>
      <c r="I98" s="160"/>
      <c r="J98" s="61"/>
    </row>
    <row r="99" spans="1:10" x14ac:dyDescent="0.3">
      <c r="A99" s="60">
        <v>95</v>
      </c>
      <c r="B99" s="127"/>
      <c r="C99" s="167">
        <f t="shared" si="4"/>
        <v>1900</v>
      </c>
      <c r="D99" s="63"/>
      <c r="E99" s="63"/>
      <c r="F99" s="63"/>
      <c r="G99" s="64">
        <f t="shared" si="3"/>
        <v>0</v>
      </c>
      <c r="H99" s="133"/>
      <c r="I99" s="160"/>
      <c r="J99" s="61"/>
    </row>
    <row r="100" spans="1:10" x14ac:dyDescent="0.3">
      <c r="A100" s="60">
        <v>96</v>
      </c>
      <c r="B100" s="127"/>
      <c r="C100" s="167">
        <f t="shared" si="4"/>
        <v>1900</v>
      </c>
      <c r="D100" s="63"/>
      <c r="E100" s="63"/>
      <c r="F100" s="63"/>
      <c r="G100" s="64">
        <f t="shared" si="3"/>
        <v>0</v>
      </c>
      <c r="H100" s="133"/>
      <c r="I100" s="160"/>
      <c r="J100" s="61"/>
    </row>
    <row r="101" spans="1:10" x14ac:dyDescent="0.3">
      <c r="A101" s="60">
        <v>97</v>
      </c>
      <c r="B101" s="127"/>
      <c r="C101" s="167">
        <f t="shared" si="4"/>
        <v>1900</v>
      </c>
      <c r="D101" s="63"/>
      <c r="E101" s="63"/>
      <c r="F101" s="63"/>
      <c r="G101" s="64">
        <f t="shared" si="3"/>
        <v>0</v>
      </c>
      <c r="H101" s="133"/>
      <c r="I101" s="160"/>
      <c r="J101" s="61"/>
    </row>
    <row r="102" spans="1:10" x14ac:dyDescent="0.3">
      <c r="A102" s="60">
        <v>98</v>
      </c>
      <c r="B102" s="127"/>
      <c r="C102" s="167">
        <f t="shared" si="4"/>
        <v>1900</v>
      </c>
      <c r="D102" s="63"/>
      <c r="E102" s="63"/>
      <c r="F102" s="63"/>
      <c r="G102" s="64">
        <f t="shared" si="3"/>
        <v>0</v>
      </c>
      <c r="H102" s="133"/>
      <c r="I102" s="160"/>
      <c r="J102" s="61"/>
    </row>
    <row r="103" spans="1:10" x14ac:dyDescent="0.3">
      <c r="A103" s="60">
        <v>99</v>
      </c>
      <c r="B103" s="127"/>
      <c r="C103" s="167">
        <f t="shared" si="4"/>
        <v>1900</v>
      </c>
      <c r="D103" s="63"/>
      <c r="E103" s="63"/>
      <c r="F103" s="63"/>
      <c r="G103" s="64">
        <f t="shared" si="3"/>
        <v>0</v>
      </c>
      <c r="H103" s="133"/>
      <c r="I103" s="160"/>
      <c r="J103" s="61"/>
    </row>
    <row r="104" spans="1:10" ht="16.2" thickBot="1" x14ac:dyDescent="0.35">
      <c r="A104" s="168">
        <v>100</v>
      </c>
      <c r="B104" s="128"/>
      <c r="C104" s="169">
        <f t="shared" si="4"/>
        <v>1900</v>
      </c>
      <c r="D104" s="121"/>
      <c r="E104" s="121"/>
      <c r="F104" s="121"/>
      <c r="G104" s="122">
        <f t="shared" si="2"/>
        <v>0</v>
      </c>
      <c r="H104" s="156"/>
      <c r="I104" s="161"/>
      <c r="J104" s="62"/>
    </row>
  </sheetData>
  <mergeCells count="9">
    <mergeCell ref="J3:J4"/>
    <mergeCell ref="B3:B4"/>
    <mergeCell ref="G3:G4"/>
    <mergeCell ref="H3:H4"/>
    <mergeCell ref="A3:A4"/>
    <mergeCell ref="I3:I4"/>
    <mergeCell ref="D3:F3"/>
    <mergeCell ref="A1:J1"/>
    <mergeCell ref="C3:C4"/>
  </mergeCells>
  <phoneticPr fontId="21" type="noConversion"/>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6"/>
  <sheetViews>
    <sheetView zoomScale="70" zoomScaleNormal="70" workbookViewId="0">
      <selection activeCell="G40" sqref="G40"/>
    </sheetView>
  </sheetViews>
  <sheetFormatPr defaultColWidth="11" defaultRowHeight="15.6" x14ac:dyDescent="0.3"/>
  <cols>
    <col min="5" max="10" width="11.296875" customWidth="1"/>
  </cols>
  <sheetData>
    <row r="1" spans="1:10" x14ac:dyDescent="0.3">
      <c r="A1" t="s">
        <v>67</v>
      </c>
      <c r="B1">
        <v>180</v>
      </c>
      <c r="E1" t="s">
        <v>0</v>
      </c>
      <c r="F1" t="s">
        <v>68</v>
      </c>
      <c r="G1" t="s">
        <v>69</v>
      </c>
      <c r="H1" t="s">
        <v>70</v>
      </c>
      <c r="I1" t="s">
        <v>71</v>
      </c>
      <c r="J1" t="s">
        <v>72</v>
      </c>
    </row>
    <row r="2" spans="1:10" x14ac:dyDescent="0.3">
      <c r="A2" t="s">
        <v>73</v>
      </c>
      <c r="B2">
        <v>47</v>
      </c>
    </row>
    <row r="3" spans="1:10" x14ac:dyDescent="0.3">
      <c r="A3" s="1" t="s">
        <v>74</v>
      </c>
      <c r="B3" s="1">
        <f>+B1-B2</f>
        <v>133</v>
      </c>
    </row>
    <row r="4" spans="1:10" x14ac:dyDescent="0.3">
      <c r="B4" s="102" t="s">
        <v>75</v>
      </c>
    </row>
    <row r="5" spans="1:10" x14ac:dyDescent="0.3">
      <c r="A5" t="s">
        <v>76</v>
      </c>
    </row>
    <row r="7" spans="1:10" x14ac:dyDescent="0.3">
      <c r="A7" t="s">
        <v>77</v>
      </c>
    </row>
    <row r="9" spans="1:10" x14ac:dyDescent="0.3">
      <c r="A9" t="s">
        <v>78</v>
      </c>
    </row>
    <row r="11" spans="1:10" x14ac:dyDescent="0.3">
      <c r="A11" t="s">
        <v>79</v>
      </c>
    </row>
    <row r="13" spans="1:10" x14ac:dyDescent="0.3">
      <c r="A13" t="s">
        <v>80</v>
      </c>
    </row>
    <row r="15" spans="1:10" x14ac:dyDescent="0.3">
      <c r="A15" t="s">
        <v>81</v>
      </c>
      <c r="B15">
        <v>158</v>
      </c>
    </row>
    <row r="16" spans="1:10" x14ac:dyDescent="0.3">
      <c r="A16" t="s">
        <v>82</v>
      </c>
      <c r="B16">
        <v>50</v>
      </c>
    </row>
    <row r="17" spans="1:11" x14ac:dyDescent="0.3">
      <c r="A17" s="1" t="s">
        <v>74</v>
      </c>
      <c r="B17" s="1">
        <f>+B15-B16</f>
        <v>108</v>
      </c>
    </row>
    <row r="19" spans="1:11" x14ac:dyDescent="0.3">
      <c r="A19" t="s">
        <v>83</v>
      </c>
    </row>
    <row r="21" spans="1:11" x14ac:dyDescent="0.3">
      <c r="A21" t="s">
        <v>84</v>
      </c>
    </row>
    <row r="24" spans="1:11" ht="16.2" thickBot="1" x14ac:dyDescent="0.35">
      <c r="A24" t="s">
        <v>85</v>
      </c>
      <c r="B24">
        <v>42</v>
      </c>
      <c r="C24" t="s">
        <v>86</v>
      </c>
      <c r="D24" s="103">
        <v>40</v>
      </c>
      <c r="E24" s="104">
        <v>50</v>
      </c>
      <c r="F24" s="104">
        <v>60</v>
      </c>
      <c r="G24" s="104">
        <v>65</v>
      </c>
      <c r="H24" s="104">
        <v>70</v>
      </c>
      <c r="I24" s="105">
        <v>80</v>
      </c>
      <c r="J24" s="103">
        <v>90</v>
      </c>
      <c r="K24" s="104">
        <v>100</v>
      </c>
    </row>
    <row r="25" spans="1:11" ht="16.2" thickTop="1" x14ac:dyDescent="0.3">
      <c r="A25" t="s">
        <v>81</v>
      </c>
      <c r="B25">
        <v>158</v>
      </c>
    </row>
    <row r="26" spans="1:11" x14ac:dyDescent="0.3">
      <c r="A26" t="s">
        <v>87</v>
      </c>
      <c r="B26">
        <f>+B25-B24</f>
        <v>116</v>
      </c>
      <c r="C26" t="s">
        <v>88</v>
      </c>
      <c r="D26" s="106">
        <f>+$B$24+($B$26/100*D24)</f>
        <v>88.4</v>
      </c>
      <c r="E26" s="107">
        <f>+$B$24+($B$26/100*E24)</f>
        <v>100</v>
      </c>
      <c r="F26" s="107">
        <f t="shared" ref="F26:K26" si="0">+$B$24+($B$26/100*F24)</f>
        <v>111.6</v>
      </c>
      <c r="G26" s="107">
        <f t="shared" si="0"/>
        <v>117.39999999999999</v>
      </c>
      <c r="H26" s="107">
        <f t="shared" si="0"/>
        <v>123.19999999999999</v>
      </c>
      <c r="I26" s="108">
        <f t="shared" si="0"/>
        <v>134.80000000000001</v>
      </c>
      <c r="J26" s="106">
        <f t="shared" si="0"/>
        <v>146.39999999999998</v>
      </c>
      <c r="K26" s="107">
        <f t="shared" si="0"/>
        <v>158</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6"/>
  <sheetViews>
    <sheetView zoomScale="90" zoomScaleNormal="90" zoomScalePageLayoutView="160" workbookViewId="0">
      <selection activeCell="C2" sqref="C2"/>
    </sheetView>
  </sheetViews>
  <sheetFormatPr defaultColWidth="11.19921875" defaultRowHeight="15.6" x14ac:dyDescent="0.3"/>
  <cols>
    <col min="5" max="5" width="9" bestFit="1" customWidth="1"/>
    <col min="7" max="7" width="12.19921875" bestFit="1" customWidth="1"/>
  </cols>
  <sheetData>
    <row r="1" spans="1:10" ht="21" x14ac:dyDescent="0.4">
      <c r="A1" s="115" t="s">
        <v>3</v>
      </c>
      <c r="B1" s="115" t="s">
        <v>97</v>
      </c>
      <c r="C1" s="115" t="s">
        <v>0</v>
      </c>
      <c r="D1" s="115" t="s">
        <v>1</v>
      </c>
      <c r="E1" s="116" t="s">
        <v>98</v>
      </c>
      <c r="F1" s="115" t="s">
        <v>99</v>
      </c>
      <c r="G1" s="115" t="s">
        <v>100</v>
      </c>
      <c r="H1" s="115" t="s">
        <v>97</v>
      </c>
    </row>
    <row r="2" spans="1:10" x14ac:dyDescent="0.3">
      <c r="C2" s="117">
        <v>43070</v>
      </c>
      <c r="D2" t="str">
        <f>TEXT(C2,"dddd")</f>
        <v>fredag</v>
      </c>
      <c r="E2" s="118"/>
      <c r="F2">
        <v>1</v>
      </c>
      <c r="G2" s="117" t="str">
        <f>IFERROR(VLOOKUP(F2,$A$2:$D$25,3,FALSE),"Nej")</f>
        <v>Nej</v>
      </c>
      <c r="H2" s="117" t="str">
        <f>IFERROR(VLOOKUP(F2,$B$2:$D$25,2,FALSE),"Nej")</f>
        <v>Nej</v>
      </c>
      <c r="J2" s="102"/>
    </row>
    <row r="3" spans="1:10" x14ac:dyDescent="0.3">
      <c r="C3" s="117">
        <v>43071</v>
      </c>
      <c r="D3" t="str">
        <f t="shared" ref="D3:D25" si="0">TEXT(C3,"dddd")</f>
        <v>lørdag</v>
      </c>
      <c r="E3" s="118"/>
      <c r="F3">
        <v>2</v>
      </c>
      <c r="G3" s="117" t="str">
        <f t="shared" ref="G3:G25" si="1">IFERROR(VLOOKUP(F3,$A$2:$D$25,3,FALSE),"Nej")</f>
        <v>Nej</v>
      </c>
      <c r="H3" s="117" t="str">
        <f t="shared" ref="H3:H25" si="2">IFERROR(VLOOKUP(F3,$B$2:$D$25,2,FALSE),"Nej")</f>
        <v>Nej</v>
      </c>
    </row>
    <row r="4" spans="1:10" x14ac:dyDescent="0.3">
      <c r="C4" s="117">
        <v>43072</v>
      </c>
      <c r="D4" t="str">
        <f t="shared" si="0"/>
        <v>søndag</v>
      </c>
      <c r="E4" s="118"/>
      <c r="F4">
        <v>3</v>
      </c>
      <c r="G4" s="117" t="str">
        <f t="shared" si="1"/>
        <v>Nej</v>
      </c>
      <c r="H4" s="117" t="str">
        <f t="shared" si="2"/>
        <v>Nej</v>
      </c>
    </row>
    <row r="5" spans="1:10" x14ac:dyDescent="0.3">
      <c r="C5" s="117">
        <v>43073</v>
      </c>
      <c r="D5" t="str">
        <f t="shared" si="0"/>
        <v>mandag</v>
      </c>
      <c r="E5" s="118"/>
      <c r="F5">
        <v>4</v>
      </c>
      <c r="G5" s="117" t="str">
        <f t="shared" si="1"/>
        <v>Nej</v>
      </c>
      <c r="H5" s="117" t="str">
        <f t="shared" si="2"/>
        <v>Nej</v>
      </c>
    </row>
    <row r="6" spans="1:10" x14ac:dyDescent="0.3">
      <c r="C6" s="117">
        <v>43074</v>
      </c>
      <c r="D6" t="str">
        <f t="shared" si="0"/>
        <v>tirsdag</v>
      </c>
      <c r="E6" s="118"/>
      <c r="F6">
        <v>5</v>
      </c>
      <c r="G6" s="117" t="str">
        <f t="shared" si="1"/>
        <v>Nej</v>
      </c>
      <c r="H6" s="117" t="str">
        <f t="shared" si="2"/>
        <v>Nej</v>
      </c>
    </row>
    <row r="7" spans="1:10" x14ac:dyDescent="0.3">
      <c r="C7" s="117">
        <v>43075</v>
      </c>
      <c r="D7" t="str">
        <f t="shared" si="0"/>
        <v>onsdag</v>
      </c>
      <c r="E7" s="118">
        <f>SUM(B2:B7)</f>
        <v>0</v>
      </c>
      <c r="F7">
        <v>6</v>
      </c>
      <c r="G7" s="117" t="str">
        <f t="shared" si="1"/>
        <v>Nej</v>
      </c>
      <c r="H7" s="117" t="str">
        <f t="shared" si="2"/>
        <v>Nej</v>
      </c>
    </row>
    <row r="8" spans="1:10" x14ac:dyDescent="0.3">
      <c r="C8" s="117">
        <v>43076</v>
      </c>
      <c r="D8" t="str">
        <f t="shared" si="0"/>
        <v>torsdag</v>
      </c>
      <c r="E8" s="118"/>
      <c r="F8">
        <v>7</v>
      </c>
      <c r="G8" s="117" t="str">
        <f t="shared" si="1"/>
        <v>Nej</v>
      </c>
      <c r="H8" s="117" t="str">
        <f t="shared" si="2"/>
        <v>Nej</v>
      </c>
    </row>
    <row r="9" spans="1:10" x14ac:dyDescent="0.3">
      <c r="C9" s="117">
        <v>43077</v>
      </c>
      <c r="D9" t="str">
        <f t="shared" si="0"/>
        <v>fredag</v>
      </c>
      <c r="E9" s="118"/>
      <c r="F9">
        <v>8</v>
      </c>
      <c r="G9" s="117" t="str">
        <f t="shared" si="1"/>
        <v>Nej</v>
      </c>
      <c r="H9" s="117" t="str">
        <f t="shared" si="2"/>
        <v>Nej</v>
      </c>
    </row>
    <row r="10" spans="1:10" x14ac:dyDescent="0.3">
      <c r="C10" s="117">
        <v>43078</v>
      </c>
      <c r="D10" t="str">
        <f t="shared" si="0"/>
        <v>lørdag</v>
      </c>
      <c r="E10" s="118"/>
      <c r="F10">
        <v>9</v>
      </c>
      <c r="G10" s="117" t="str">
        <f t="shared" si="1"/>
        <v>Nej</v>
      </c>
      <c r="H10" s="117" t="str">
        <f t="shared" si="2"/>
        <v>Nej</v>
      </c>
    </row>
    <row r="11" spans="1:10" x14ac:dyDescent="0.3">
      <c r="C11" s="117">
        <v>43079</v>
      </c>
      <c r="D11" t="str">
        <f t="shared" si="0"/>
        <v>søndag</v>
      </c>
      <c r="E11" s="118"/>
      <c r="F11">
        <v>10</v>
      </c>
      <c r="G11" s="117" t="str">
        <f t="shared" si="1"/>
        <v>Nej</v>
      </c>
      <c r="H11" s="117" t="str">
        <f t="shared" si="2"/>
        <v>Nej</v>
      </c>
    </row>
    <row r="12" spans="1:10" x14ac:dyDescent="0.3">
      <c r="C12" s="117">
        <v>43080</v>
      </c>
      <c r="D12" t="str">
        <f t="shared" si="0"/>
        <v>mandag</v>
      </c>
      <c r="E12" s="118"/>
      <c r="F12">
        <v>11</v>
      </c>
      <c r="G12" s="117" t="str">
        <f t="shared" si="1"/>
        <v>Nej</v>
      </c>
      <c r="H12" s="117" t="str">
        <f t="shared" si="2"/>
        <v>Nej</v>
      </c>
    </row>
    <row r="13" spans="1:10" x14ac:dyDescent="0.3">
      <c r="C13" s="117">
        <v>43081</v>
      </c>
      <c r="D13" t="str">
        <f t="shared" si="0"/>
        <v>tirsdag</v>
      </c>
      <c r="E13" s="118">
        <f>SUM(B8:B13)</f>
        <v>0</v>
      </c>
      <c r="F13">
        <v>12</v>
      </c>
      <c r="G13" s="117" t="str">
        <f t="shared" si="1"/>
        <v>Nej</v>
      </c>
      <c r="H13" s="117" t="str">
        <f t="shared" si="2"/>
        <v>Nej</v>
      </c>
    </row>
    <row r="14" spans="1:10" x14ac:dyDescent="0.3">
      <c r="C14" s="117">
        <v>43082</v>
      </c>
      <c r="D14" t="str">
        <f t="shared" si="0"/>
        <v>onsdag</v>
      </c>
      <c r="E14" s="118"/>
      <c r="F14">
        <v>13</v>
      </c>
      <c r="G14" s="117" t="str">
        <f t="shared" si="1"/>
        <v>Nej</v>
      </c>
      <c r="H14" s="117" t="str">
        <f t="shared" si="2"/>
        <v>Nej</v>
      </c>
    </row>
    <row r="15" spans="1:10" x14ac:dyDescent="0.3">
      <c r="C15" s="117">
        <v>43083</v>
      </c>
      <c r="D15" t="str">
        <f t="shared" si="0"/>
        <v>torsdag</v>
      </c>
      <c r="E15" s="118"/>
      <c r="F15">
        <v>14</v>
      </c>
      <c r="G15" s="117" t="str">
        <f t="shared" si="1"/>
        <v>Nej</v>
      </c>
      <c r="H15" s="117" t="str">
        <f t="shared" si="2"/>
        <v>Nej</v>
      </c>
    </row>
    <row r="16" spans="1:10" x14ac:dyDescent="0.3">
      <c r="C16" s="117">
        <v>43084</v>
      </c>
      <c r="D16" t="str">
        <f t="shared" si="0"/>
        <v>fredag</v>
      </c>
      <c r="E16" s="118"/>
      <c r="F16">
        <v>15</v>
      </c>
      <c r="G16" s="117" t="str">
        <f t="shared" si="1"/>
        <v>Nej</v>
      </c>
      <c r="H16" s="117" t="str">
        <f t="shared" si="2"/>
        <v>Nej</v>
      </c>
    </row>
    <row r="17" spans="1:8" x14ac:dyDescent="0.3">
      <c r="C17" s="117">
        <v>43085</v>
      </c>
      <c r="D17" t="str">
        <f t="shared" si="0"/>
        <v>lørdag</v>
      </c>
      <c r="E17" s="118"/>
      <c r="F17">
        <v>16</v>
      </c>
      <c r="G17" s="117" t="str">
        <f t="shared" si="1"/>
        <v>Nej</v>
      </c>
      <c r="H17" s="117" t="str">
        <f t="shared" si="2"/>
        <v>Nej</v>
      </c>
    </row>
    <row r="18" spans="1:8" x14ac:dyDescent="0.3">
      <c r="C18" s="117">
        <v>43086</v>
      </c>
      <c r="D18" t="str">
        <f t="shared" si="0"/>
        <v>søndag</v>
      </c>
      <c r="E18" s="118"/>
      <c r="F18">
        <v>17</v>
      </c>
      <c r="G18" s="117" t="str">
        <f t="shared" si="1"/>
        <v>Nej</v>
      </c>
      <c r="H18" s="117" t="str">
        <f t="shared" si="2"/>
        <v>Nej</v>
      </c>
    </row>
    <row r="19" spans="1:8" x14ac:dyDescent="0.3">
      <c r="C19" s="117">
        <v>43087</v>
      </c>
      <c r="D19" t="str">
        <f t="shared" si="0"/>
        <v>mandag</v>
      </c>
      <c r="E19" s="118">
        <f>SUM(B14:B19)</f>
        <v>0</v>
      </c>
      <c r="F19">
        <v>18</v>
      </c>
      <c r="G19" s="117" t="str">
        <f t="shared" si="1"/>
        <v>Nej</v>
      </c>
      <c r="H19" s="117" t="str">
        <f t="shared" si="2"/>
        <v>Nej</v>
      </c>
    </row>
    <row r="20" spans="1:8" x14ac:dyDescent="0.3">
      <c r="C20" s="117">
        <v>43088</v>
      </c>
      <c r="D20" t="str">
        <f t="shared" si="0"/>
        <v>tirsdag</v>
      </c>
      <c r="E20" s="118"/>
      <c r="F20">
        <v>19</v>
      </c>
      <c r="G20" s="117" t="str">
        <f t="shared" si="1"/>
        <v>Nej</v>
      </c>
      <c r="H20" s="117" t="str">
        <f t="shared" si="2"/>
        <v>Nej</v>
      </c>
    </row>
    <row r="21" spans="1:8" x14ac:dyDescent="0.3">
      <c r="C21" s="117">
        <v>43089</v>
      </c>
      <c r="D21" t="str">
        <f t="shared" si="0"/>
        <v>onsdag</v>
      </c>
      <c r="E21" s="118"/>
      <c r="F21">
        <v>20</v>
      </c>
      <c r="G21" s="117" t="str">
        <f t="shared" si="1"/>
        <v>Nej</v>
      </c>
      <c r="H21" s="117" t="str">
        <f t="shared" si="2"/>
        <v>Nej</v>
      </c>
    </row>
    <row r="22" spans="1:8" x14ac:dyDescent="0.3">
      <c r="C22" s="117">
        <v>43090</v>
      </c>
      <c r="D22" t="str">
        <f t="shared" si="0"/>
        <v>torsdag</v>
      </c>
      <c r="E22" s="118"/>
      <c r="F22">
        <v>21</v>
      </c>
      <c r="G22" s="117" t="str">
        <f t="shared" si="1"/>
        <v>Nej</v>
      </c>
      <c r="H22" s="117" t="str">
        <f t="shared" si="2"/>
        <v>Nej</v>
      </c>
    </row>
    <row r="23" spans="1:8" x14ac:dyDescent="0.3">
      <c r="C23" s="117">
        <v>43091</v>
      </c>
      <c r="D23" t="str">
        <f t="shared" si="0"/>
        <v>fredag</v>
      </c>
      <c r="E23" s="118"/>
      <c r="F23">
        <v>22</v>
      </c>
      <c r="G23" s="117" t="str">
        <f t="shared" si="1"/>
        <v>Nej</v>
      </c>
      <c r="H23" s="117" t="str">
        <f t="shared" si="2"/>
        <v>Nej</v>
      </c>
    </row>
    <row r="24" spans="1:8" x14ac:dyDescent="0.3">
      <c r="C24" s="117">
        <v>43092</v>
      </c>
      <c r="D24" t="str">
        <f t="shared" si="0"/>
        <v>lørdag</v>
      </c>
      <c r="E24" s="118"/>
      <c r="F24">
        <v>23</v>
      </c>
      <c r="G24" s="117" t="str">
        <f t="shared" si="1"/>
        <v>Nej</v>
      </c>
      <c r="H24" s="117" t="str">
        <f t="shared" si="2"/>
        <v>Nej</v>
      </c>
    </row>
    <row r="25" spans="1:8" x14ac:dyDescent="0.3">
      <c r="C25" s="117">
        <v>43093</v>
      </c>
      <c r="D25" t="str">
        <f t="shared" si="0"/>
        <v>søndag</v>
      </c>
      <c r="E25" s="118">
        <f>SUM(B20:B25)</f>
        <v>0</v>
      </c>
      <c r="F25">
        <v>24</v>
      </c>
      <c r="G25" s="117" t="str">
        <f t="shared" si="1"/>
        <v>Nej</v>
      </c>
      <c r="H25" s="117" t="str">
        <f t="shared" si="2"/>
        <v>Nej</v>
      </c>
    </row>
    <row r="26" spans="1:8" ht="21" x14ac:dyDescent="0.4">
      <c r="A26" s="116">
        <f>SUM(A2:A25)</f>
        <v>0</v>
      </c>
      <c r="B26" s="116"/>
      <c r="C26" s="116"/>
      <c r="D26" s="116"/>
      <c r="E26" s="116">
        <f>SUM(E2:E25)</f>
        <v>0</v>
      </c>
      <c r="F26" s="116"/>
      <c r="G26" s="116"/>
      <c r="H26" s="1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T18"/>
  <sheetViews>
    <sheetView zoomScale="130" zoomScaleNormal="130" zoomScalePageLayoutView="180" workbookViewId="0">
      <selection activeCell="AW20" sqref="AW20"/>
    </sheetView>
  </sheetViews>
  <sheetFormatPr defaultColWidth="8.796875" defaultRowHeight="15.6" x14ac:dyDescent="0.3"/>
  <cols>
    <col min="1" max="1" width="11" customWidth="1"/>
    <col min="2" max="2" width="13.19921875" customWidth="1"/>
    <col min="3" max="3" width="3.19921875" style="71" customWidth="1"/>
    <col min="4" max="13" width="1.5" customWidth="1"/>
    <col min="14" max="14" width="4.5" customWidth="1"/>
    <col min="15" max="24" width="1.5" customWidth="1"/>
    <col min="25" max="25" width="4.5" customWidth="1"/>
    <col min="26" max="35" width="1.5" customWidth="1"/>
    <col min="36" max="36" width="4.5" customWidth="1"/>
    <col min="37" max="46" width="1.5" customWidth="1"/>
  </cols>
  <sheetData>
    <row r="1" spans="1:46" x14ac:dyDescent="0.3">
      <c r="A1" s="69"/>
      <c r="B1" s="70" t="s">
        <v>203</v>
      </c>
    </row>
    <row r="2" spans="1:46" x14ac:dyDescent="0.3">
      <c r="A2" s="72" t="s">
        <v>64</v>
      </c>
      <c r="B2" s="101">
        <v>0.25</v>
      </c>
    </row>
    <row r="3" spans="1:46" x14ac:dyDescent="0.3">
      <c r="A3" s="73" t="s">
        <v>65</v>
      </c>
      <c r="B3" s="98">
        <v>0.5</v>
      </c>
    </row>
    <row r="4" spans="1:46" x14ac:dyDescent="0.3">
      <c r="A4" s="74" t="s">
        <v>66</v>
      </c>
      <c r="B4" s="99">
        <v>0.75</v>
      </c>
    </row>
    <row r="5" spans="1:46" x14ac:dyDescent="0.3">
      <c r="A5" s="75" t="s">
        <v>15</v>
      </c>
      <c r="B5" s="100">
        <v>1</v>
      </c>
      <c r="D5" s="151" t="str">
        <f>B1</f>
        <v>% af total</v>
      </c>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row>
    <row r="6" spans="1:46" x14ac:dyDescent="0.3">
      <c r="C6" s="76"/>
      <c r="D6" s="152" t="str">
        <f>A2</f>
        <v>A</v>
      </c>
      <c r="E6" s="152"/>
      <c r="F6" s="152"/>
      <c r="G6" s="152"/>
      <c r="H6" s="152"/>
      <c r="I6" s="152"/>
      <c r="J6" s="152"/>
      <c r="K6" s="152"/>
      <c r="L6" s="152"/>
      <c r="M6" s="152"/>
      <c r="O6" s="153" t="str">
        <f>A3</f>
        <v xml:space="preserve">B </v>
      </c>
      <c r="P6" s="153"/>
      <c r="Q6" s="153"/>
      <c r="R6" s="153"/>
      <c r="S6" s="153"/>
      <c r="T6" s="153"/>
      <c r="U6" s="153"/>
      <c r="V6" s="153"/>
      <c r="W6" s="153"/>
      <c r="X6" s="153"/>
      <c r="Z6" s="154" t="str">
        <f>A4</f>
        <v>C</v>
      </c>
      <c r="AA6" s="154"/>
      <c r="AB6" s="154"/>
      <c r="AC6" s="154"/>
      <c r="AD6" s="154"/>
      <c r="AE6" s="154"/>
      <c r="AF6" s="154"/>
      <c r="AG6" s="154"/>
      <c r="AH6" s="154"/>
      <c r="AI6" s="154"/>
      <c r="AK6" s="155" t="str">
        <f>A5</f>
        <v>D</v>
      </c>
      <c r="AL6" s="155"/>
      <c r="AM6" s="155"/>
      <c r="AN6" s="155"/>
      <c r="AO6" s="155"/>
      <c r="AP6" s="155"/>
      <c r="AQ6" s="155"/>
      <c r="AR6" s="155"/>
      <c r="AS6" s="155"/>
      <c r="AT6" s="155"/>
    </row>
    <row r="7" spans="1:46" ht="7.05" customHeight="1" x14ac:dyDescent="0.3">
      <c r="B7" s="77"/>
      <c r="C7" s="77">
        <v>90</v>
      </c>
      <c r="D7" s="78" t="str">
        <f>IF((D$17+$C7)&lt;=($B$2*100),"1","")</f>
        <v/>
      </c>
      <c r="E7" s="79" t="str">
        <f>IF((E$17+$C7)&lt;=($B$2*100),"1","")</f>
        <v/>
      </c>
      <c r="F7" s="79" t="str">
        <f t="shared" ref="F7:L7" si="0">IF((F$17+$C7)&lt;=($B$2*100),"1","")</f>
        <v/>
      </c>
      <c r="G7" s="79" t="str">
        <f t="shared" si="0"/>
        <v/>
      </c>
      <c r="H7" s="79" t="str">
        <f t="shared" si="0"/>
        <v/>
      </c>
      <c r="I7" s="79" t="str">
        <f t="shared" si="0"/>
        <v/>
      </c>
      <c r="J7" s="79" t="str">
        <f t="shared" si="0"/>
        <v/>
      </c>
      <c r="K7" s="79" t="str">
        <f t="shared" si="0"/>
        <v/>
      </c>
      <c r="L7" s="79" t="str">
        <f t="shared" si="0"/>
        <v/>
      </c>
      <c r="M7" s="80" t="str">
        <f>IF((M$17+$C7)&lt;=($B$2*100),"1","")</f>
        <v/>
      </c>
      <c r="N7" s="77">
        <v>90</v>
      </c>
      <c r="O7" s="81" t="str">
        <f>IF((O$17+$C7)&lt;=($B$3*100),"1","")</f>
        <v/>
      </c>
      <c r="P7" s="82" t="str">
        <f t="shared" ref="P7:X16" si="1">IF((P$17+$C7)&lt;=($B$3*100),"1","")</f>
        <v/>
      </c>
      <c r="Q7" s="82" t="str">
        <f t="shared" si="1"/>
        <v/>
      </c>
      <c r="R7" s="82" t="str">
        <f t="shared" si="1"/>
        <v/>
      </c>
      <c r="S7" s="82" t="str">
        <f t="shared" si="1"/>
        <v/>
      </c>
      <c r="T7" s="82" t="str">
        <f t="shared" si="1"/>
        <v/>
      </c>
      <c r="U7" s="82" t="str">
        <f t="shared" si="1"/>
        <v/>
      </c>
      <c r="V7" s="82" t="str">
        <f t="shared" si="1"/>
        <v/>
      </c>
      <c r="W7" s="82" t="str">
        <f t="shared" si="1"/>
        <v/>
      </c>
      <c r="X7" s="83" t="str">
        <f t="shared" si="1"/>
        <v/>
      </c>
      <c r="Y7" s="77">
        <v>90</v>
      </c>
      <c r="Z7" s="81" t="str">
        <f t="shared" ref="Z7:AI16" si="2">IF((Z$17+$C7)&lt;=($B$4*100),"1","")</f>
        <v/>
      </c>
      <c r="AA7" s="82" t="str">
        <f t="shared" si="2"/>
        <v/>
      </c>
      <c r="AB7" s="82" t="str">
        <f t="shared" si="2"/>
        <v/>
      </c>
      <c r="AC7" s="82" t="str">
        <f t="shared" si="2"/>
        <v/>
      </c>
      <c r="AD7" s="82" t="str">
        <f t="shared" si="2"/>
        <v/>
      </c>
      <c r="AE7" s="82" t="str">
        <f t="shared" si="2"/>
        <v/>
      </c>
      <c r="AF7" s="82" t="str">
        <f t="shared" si="2"/>
        <v/>
      </c>
      <c r="AG7" s="82" t="str">
        <f t="shared" si="2"/>
        <v/>
      </c>
      <c r="AH7" s="82" t="str">
        <f t="shared" si="2"/>
        <v/>
      </c>
      <c r="AI7" s="83" t="str">
        <f t="shared" si="2"/>
        <v/>
      </c>
      <c r="AJ7" s="77">
        <v>90</v>
      </c>
      <c r="AK7" s="81" t="str">
        <f t="shared" ref="AK7:AT16" si="3">IF((AK$17+$C7)&lt;=($B$5*100),"1","")</f>
        <v>1</v>
      </c>
      <c r="AL7" s="82" t="str">
        <f t="shared" si="3"/>
        <v>1</v>
      </c>
      <c r="AM7" s="82" t="str">
        <f t="shared" si="3"/>
        <v>1</v>
      </c>
      <c r="AN7" s="82" t="str">
        <f t="shared" si="3"/>
        <v>1</v>
      </c>
      <c r="AO7" s="82" t="str">
        <f t="shared" si="3"/>
        <v>1</v>
      </c>
      <c r="AP7" s="82" t="str">
        <f t="shared" si="3"/>
        <v>1</v>
      </c>
      <c r="AQ7" s="82" t="str">
        <f t="shared" si="3"/>
        <v>1</v>
      </c>
      <c r="AR7" s="82" t="str">
        <f t="shared" si="3"/>
        <v>1</v>
      </c>
      <c r="AS7" s="82" t="str">
        <f t="shared" si="3"/>
        <v>1</v>
      </c>
      <c r="AT7" s="83" t="str">
        <f t="shared" si="3"/>
        <v>1</v>
      </c>
    </row>
    <row r="8" spans="1:46" ht="7.05" customHeight="1" x14ac:dyDescent="0.3">
      <c r="B8" s="77"/>
      <c r="C8" s="77">
        <v>80</v>
      </c>
      <c r="D8" s="84" t="str">
        <f t="shared" ref="D8:M15" si="4">IF((D$17+$C8)&lt;=($B$2*100),"1","")</f>
        <v/>
      </c>
      <c r="E8" s="85" t="str">
        <f t="shared" si="4"/>
        <v/>
      </c>
      <c r="F8" s="85" t="str">
        <f t="shared" si="4"/>
        <v/>
      </c>
      <c r="G8" s="85" t="str">
        <f t="shared" si="4"/>
        <v/>
      </c>
      <c r="H8" s="85" t="str">
        <f t="shared" si="4"/>
        <v/>
      </c>
      <c r="I8" s="85" t="str">
        <f t="shared" si="4"/>
        <v/>
      </c>
      <c r="J8" s="85" t="str">
        <f t="shared" si="4"/>
        <v/>
      </c>
      <c r="K8" s="85" t="str">
        <f t="shared" si="4"/>
        <v/>
      </c>
      <c r="L8" s="85" t="str">
        <f t="shared" si="4"/>
        <v/>
      </c>
      <c r="M8" s="86" t="str">
        <f t="shared" si="4"/>
        <v/>
      </c>
      <c r="N8" s="77">
        <v>80</v>
      </c>
      <c r="O8" s="87" t="str">
        <f t="shared" ref="O8:O16" si="5">IF((O$17+$C8)&lt;=($B$3*100),"1","")</f>
        <v/>
      </c>
      <c r="P8" s="88" t="str">
        <f t="shared" si="1"/>
        <v/>
      </c>
      <c r="Q8" s="88" t="str">
        <f t="shared" si="1"/>
        <v/>
      </c>
      <c r="R8" s="88" t="str">
        <f t="shared" si="1"/>
        <v/>
      </c>
      <c r="S8" s="88" t="str">
        <f t="shared" si="1"/>
        <v/>
      </c>
      <c r="T8" s="88" t="str">
        <f t="shared" si="1"/>
        <v/>
      </c>
      <c r="U8" s="88" t="str">
        <f t="shared" si="1"/>
        <v/>
      </c>
      <c r="V8" s="88" t="str">
        <f t="shared" si="1"/>
        <v/>
      </c>
      <c r="W8" s="88" t="str">
        <f t="shared" si="1"/>
        <v/>
      </c>
      <c r="X8" s="89" t="str">
        <f t="shared" si="1"/>
        <v/>
      </c>
      <c r="Y8" s="77">
        <v>80</v>
      </c>
      <c r="Z8" s="87" t="str">
        <f t="shared" si="2"/>
        <v/>
      </c>
      <c r="AA8" s="88" t="str">
        <f t="shared" si="2"/>
        <v/>
      </c>
      <c r="AB8" s="88" t="str">
        <f t="shared" si="2"/>
        <v/>
      </c>
      <c r="AC8" s="88" t="str">
        <f t="shared" si="2"/>
        <v/>
      </c>
      <c r="AD8" s="88" t="str">
        <f t="shared" si="2"/>
        <v/>
      </c>
      <c r="AE8" s="88" t="str">
        <f t="shared" si="2"/>
        <v/>
      </c>
      <c r="AF8" s="88" t="str">
        <f t="shared" si="2"/>
        <v/>
      </c>
      <c r="AG8" s="88" t="str">
        <f t="shared" si="2"/>
        <v/>
      </c>
      <c r="AH8" s="88" t="str">
        <f t="shared" si="2"/>
        <v/>
      </c>
      <c r="AI8" s="89" t="str">
        <f t="shared" si="2"/>
        <v/>
      </c>
      <c r="AJ8" s="77">
        <v>80</v>
      </c>
      <c r="AK8" s="87" t="str">
        <f t="shared" si="3"/>
        <v>1</v>
      </c>
      <c r="AL8" s="88" t="str">
        <f t="shared" si="3"/>
        <v>1</v>
      </c>
      <c r="AM8" s="88" t="str">
        <f t="shared" si="3"/>
        <v>1</v>
      </c>
      <c r="AN8" s="88" t="str">
        <f t="shared" si="3"/>
        <v>1</v>
      </c>
      <c r="AO8" s="88" t="str">
        <f t="shared" si="3"/>
        <v>1</v>
      </c>
      <c r="AP8" s="88" t="str">
        <f t="shared" si="3"/>
        <v>1</v>
      </c>
      <c r="AQ8" s="88" t="str">
        <f t="shared" si="3"/>
        <v>1</v>
      </c>
      <c r="AR8" s="88" t="str">
        <f t="shared" si="3"/>
        <v>1</v>
      </c>
      <c r="AS8" s="88" t="str">
        <f t="shared" si="3"/>
        <v>1</v>
      </c>
      <c r="AT8" s="89" t="str">
        <f t="shared" si="3"/>
        <v>1</v>
      </c>
    </row>
    <row r="9" spans="1:46" ht="7.05" customHeight="1" x14ac:dyDescent="0.3">
      <c r="B9" s="77"/>
      <c r="C9" s="77">
        <v>70</v>
      </c>
      <c r="D9" s="84" t="str">
        <f t="shared" si="4"/>
        <v/>
      </c>
      <c r="E9" s="85" t="str">
        <f t="shared" si="4"/>
        <v/>
      </c>
      <c r="F9" s="85" t="str">
        <f t="shared" si="4"/>
        <v/>
      </c>
      <c r="G9" s="85" t="str">
        <f t="shared" si="4"/>
        <v/>
      </c>
      <c r="H9" s="85" t="str">
        <f t="shared" si="4"/>
        <v/>
      </c>
      <c r="I9" s="85" t="str">
        <f t="shared" si="4"/>
        <v/>
      </c>
      <c r="J9" s="85" t="str">
        <f t="shared" si="4"/>
        <v/>
      </c>
      <c r="K9" s="85" t="str">
        <f t="shared" si="4"/>
        <v/>
      </c>
      <c r="L9" s="85" t="str">
        <f t="shared" si="4"/>
        <v/>
      </c>
      <c r="M9" s="86" t="str">
        <f t="shared" si="4"/>
        <v/>
      </c>
      <c r="N9" s="77">
        <v>70</v>
      </c>
      <c r="O9" s="87" t="str">
        <f t="shared" si="5"/>
        <v/>
      </c>
      <c r="P9" s="88" t="str">
        <f t="shared" si="1"/>
        <v/>
      </c>
      <c r="Q9" s="88" t="str">
        <f t="shared" si="1"/>
        <v/>
      </c>
      <c r="R9" s="88" t="str">
        <f t="shared" si="1"/>
        <v/>
      </c>
      <c r="S9" s="88" t="str">
        <f t="shared" si="1"/>
        <v/>
      </c>
      <c r="T9" s="88" t="str">
        <f t="shared" si="1"/>
        <v/>
      </c>
      <c r="U9" s="88" t="str">
        <f t="shared" si="1"/>
        <v/>
      </c>
      <c r="V9" s="88" t="str">
        <f t="shared" si="1"/>
        <v/>
      </c>
      <c r="W9" s="88" t="str">
        <f t="shared" si="1"/>
        <v/>
      </c>
      <c r="X9" s="89" t="str">
        <f t="shared" si="1"/>
        <v/>
      </c>
      <c r="Y9" s="77">
        <v>70</v>
      </c>
      <c r="Z9" s="87" t="str">
        <f t="shared" si="2"/>
        <v>1</v>
      </c>
      <c r="AA9" s="88" t="str">
        <f t="shared" si="2"/>
        <v>1</v>
      </c>
      <c r="AB9" s="88" t="str">
        <f t="shared" si="2"/>
        <v>1</v>
      </c>
      <c r="AC9" s="88" t="str">
        <f t="shared" si="2"/>
        <v>1</v>
      </c>
      <c r="AD9" s="88" t="str">
        <f t="shared" si="2"/>
        <v>1</v>
      </c>
      <c r="AE9" s="88" t="str">
        <f t="shared" si="2"/>
        <v/>
      </c>
      <c r="AF9" s="88" t="str">
        <f t="shared" si="2"/>
        <v/>
      </c>
      <c r="AG9" s="88" t="str">
        <f t="shared" si="2"/>
        <v/>
      </c>
      <c r="AH9" s="88" t="str">
        <f t="shared" si="2"/>
        <v/>
      </c>
      <c r="AI9" s="89" t="str">
        <f t="shared" si="2"/>
        <v/>
      </c>
      <c r="AJ9" s="77">
        <v>70</v>
      </c>
      <c r="AK9" s="87" t="str">
        <f t="shared" si="3"/>
        <v>1</v>
      </c>
      <c r="AL9" s="88" t="str">
        <f t="shared" si="3"/>
        <v>1</v>
      </c>
      <c r="AM9" s="88" t="str">
        <f t="shared" si="3"/>
        <v>1</v>
      </c>
      <c r="AN9" s="88" t="str">
        <f t="shared" si="3"/>
        <v>1</v>
      </c>
      <c r="AO9" s="88" t="str">
        <f t="shared" si="3"/>
        <v>1</v>
      </c>
      <c r="AP9" s="88" t="str">
        <f t="shared" si="3"/>
        <v>1</v>
      </c>
      <c r="AQ9" s="88" t="str">
        <f t="shared" si="3"/>
        <v>1</v>
      </c>
      <c r="AR9" s="88" t="str">
        <f t="shared" si="3"/>
        <v>1</v>
      </c>
      <c r="AS9" s="88" t="str">
        <f t="shared" si="3"/>
        <v>1</v>
      </c>
      <c r="AT9" s="89" t="str">
        <f t="shared" si="3"/>
        <v>1</v>
      </c>
    </row>
    <row r="10" spans="1:46" ht="7.05" customHeight="1" x14ac:dyDescent="0.3">
      <c r="B10" s="77"/>
      <c r="C10" s="77">
        <v>60</v>
      </c>
      <c r="D10" s="84" t="str">
        <f t="shared" si="4"/>
        <v/>
      </c>
      <c r="E10" s="85" t="str">
        <f t="shared" si="4"/>
        <v/>
      </c>
      <c r="F10" s="85" t="str">
        <f t="shared" si="4"/>
        <v/>
      </c>
      <c r="G10" s="85" t="str">
        <f t="shared" si="4"/>
        <v/>
      </c>
      <c r="H10" s="85" t="str">
        <f t="shared" si="4"/>
        <v/>
      </c>
      <c r="I10" s="85" t="str">
        <f t="shared" si="4"/>
        <v/>
      </c>
      <c r="J10" s="85" t="str">
        <f t="shared" si="4"/>
        <v/>
      </c>
      <c r="K10" s="85" t="str">
        <f t="shared" si="4"/>
        <v/>
      </c>
      <c r="L10" s="85" t="str">
        <f t="shared" si="4"/>
        <v/>
      </c>
      <c r="M10" s="86" t="str">
        <f t="shared" si="4"/>
        <v/>
      </c>
      <c r="N10" s="77">
        <v>60</v>
      </c>
      <c r="O10" s="87" t="str">
        <f t="shared" si="5"/>
        <v/>
      </c>
      <c r="P10" s="88" t="str">
        <f t="shared" si="1"/>
        <v/>
      </c>
      <c r="Q10" s="88" t="str">
        <f t="shared" si="1"/>
        <v/>
      </c>
      <c r="R10" s="88" t="str">
        <f t="shared" si="1"/>
        <v/>
      </c>
      <c r="S10" s="88" t="str">
        <f t="shared" si="1"/>
        <v/>
      </c>
      <c r="T10" s="88" t="str">
        <f t="shared" si="1"/>
        <v/>
      </c>
      <c r="U10" s="88" t="str">
        <f t="shared" si="1"/>
        <v/>
      </c>
      <c r="V10" s="88" t="str">
        <f t="shared" si="1"/>
        <v/>
      </c>
      <c r="W10" s="88" t="str">
        <f t="shared" si="1"/>
        <v/>
      </c>
      <c r="X10" s="89" t="str">
        <f t="shared" si="1"/>
        <v/>
      </c>
      <c r="Y10" s="77">
        <v>60</v>
      </c>
      <c r="Z10" s="87" t="str">
        <f t="shared" si="2"/>
        <v>1</v>
      </c>
      <c r="AA10" s="88" t="str">
        <f t="shared" si="2"/>
        <v>1</v>
      </c>
      <c r="AB10" s="88" t="str">
        <f t="shared" si="2"/>
        <v>1</v>
      </c>
      <c r="AC10" s="88" t="str">
        <f t="shared" si="2"/>
        <v>1</v>
      </c>
      <c r="AD10" s="88" t="str">
        <f t="shared" si="2"/>
        <v>1</v>
      </c>
      <c r="AE10" s="88" t="str">
        <f t="shared" si="2"/>
        <v>1</v>
      </c>
      <c r="AF10" s="88" t="str">
        <f t="shared" si="2"/>
        <v>1</v>
      </c>
      <c r="AG10" s="88" t="str">
        <f t="shared" si="2"/>
        <v>1</v>
      </c>
      <c r="AH10" s="88" t="str">
        <f t="shared" si="2"/>
        <v>1</v>
      </c>
      <c r="AI10" s="89" t="str">
        <f t="shared" si="2"/>
        <v>1</v>
      </c>
      <c r="AJ10" s="77">
        <v>60</v>
      </c>
      <c r="AK10" s="87" t="str">
        <f t="shared" si="3"/>
        <v>1</v>
      </c>
      <c r="AL10" s="88" t="str">
        <f t="shared" si="3"/>
        <v>1</v>
      </c>
      <c r="AM10" s="88" t="str">
        <f t="shared" si="3"/>
        <v>1</v>
      </c>
      <c r="AN10" s="88" t="str">
        <f t="shared" si="3"/>
        <v>1</v>
      </c>
      <c r="AO10" s="88" t="str">
        <f t="shared" si="3"/>
        <v>1</v>
      </c>
      <c r="AP10" s="88" t="str">
        <f t="shared" si="3"/>
        <v>1</v>
      </c>
      <c r="AQ10" s="88" t="str">
        <f t="shared" si="3"/>
        <v>1</v>
      </c>
      <c r="AR10" s="88" t="str">
        <f t="shared" si="3"/>
        <v>1</v>
      </c>
      <c r="AS10" s="88" t="str">
        <f t="shared" si="3"/>
        <v>1</v>
      </c>
      <c r="AT10" s="89" t="str">
        <f t="shared" si="3"/>
        <v>1</v>
      </c>
    </row>
    <row r="11" spans="1:46" ht="7.05" customHeight="1" x14ac:dyDescent="0.3">
      <c r="B11" s="77"/>
      <c r="C11" s="77">
        <v>50</v>
      </c>
      <c r="D11" s="84" t="str">
        <f t="shared" si="4"/>
        <v/>
      </c>
      <c r="E11" s="85" t="str">
        <f t="shared" si="4"/>
        <v/>
      </c>
      <c r="F11" s="85" t="str">
        <f t="shared" si="4"/>
        <v/>
      </c>
      <c r="G11" s="85" t="str">
        <f t="shared" si="4"/>
        <v/>
      </c>
      <c r="H11" s="85" t="str">
        <f t="shared" si="4"/>
        <v/>
      </c>
      <c r="I11" s="85" t="str">
        <f t="shared" si="4"/>
        <v/>
      </c>
      <c r="J11" s="85" t="str">
        <f t="shared" si="4"/>
        <v/>
      </c>
      <c r="K11" s="85" t="str">
        <f t="shared" si="4"/>
        <v/>
      </c>
      <c r="L11" s="85" t="str">
        <f t="shared" si="4"/>
        <v/>
      </c>
      <c r="M11" s="86" t="str">
        <f t="shared" si="4"/>
        <v/>
      </c>
      <c r="N11" s="77">
        <v>50</v>
      </c>
      <c r="O11" s="87" t="str">
        <f t="shared" si="5"/>
        <v/>
      </c>
      <c r="P11" s="88" t="str">
        <f t="shared" si="1"/>
        <v/>
      </c>
      <c r="Q11" s="88" t="str">
        <f t="shared" si="1"/>
        <v/>
      </c>
      <c r="R11" s="88" t="str">
        <f t="shared" si="1"/>
        <v/>
      </c>
      <c r="S11" s="88" t="str">
        <f t="shared" si="1"/>
        <v/>
      </c>
      <c r="T11" s="88" t="str">
        <f t="shared" si="1"/>
        <v/>
      </c>
      <c r="U11" s="88" t="str">
        <f t="shared" si="1"/>
        <v/>
      </c>
      <c r="V11" s="88" t="str">
        <f t="shared" si="1"/>
        <v/>
      </c>
      <c r="W11" s="88" t="str">
        <f t="shared" si="1"/>
        <v/>
      </c>
      <c r="X11" s="89" t="str">
        <f t="shared" si="1"/>
        <v/>
      </c>
      <c r="Y11" s="77">
        <v>50</v>
      </c>
      <c r="Z11" s="87" t="str">
        <f t="shared" si="2"/>
        <v>1</v>
      </c>
      <c r="AA11" s="88" t="str">
        <f t="shared" si="2"/>
        <v>1</v>
      </c>
      <c r="AB11" s="88" t="str">
        <f t="shared" si="2"/>
        <v>1</v>
      </c>
      <c r="AC11" s="88" t="str">
        <f t="shared" si="2"/>
        <v>1</v>
      </c>
      <c r="AD11" s="88" t="str">
        <f t="shared" si="2"/>
        <v>1</v>
      </c>
      <c r="AE11" s="88" t="str">
        <f t="shared" si="2"/>
        <v>1</v>
      </c>
      <c r="AF11" s="88" t="str">
        <f t="shared" si="2"/>
        <v>1</v>
      </c>
      <c r="AG11" s="88" t="str">
        <f t="shared" si="2"/>
        <v>1</v>
      </c>
      <c r="AH11" s="88" t="str">
        <f t="shared" si="2"/>
        <v>1</v>
      </c>
      <c r="AI11" s="89" t="str">
        <f t="shared" si="2"/>
        <v>1</v>
      </c>
      <c r="AJ11" s="77">
        <v>50</v>
      </c>
      <c r="AK11" s="87" t="str">
        <f t="shared" si="3"/>
        <v>1</v>
      </c>
      <c r="AL11" s="88" t="str">
        <f t="shared" si="3"/>
        <v>1</v>
      </c>
      <c r="AM11" s="88" t="str">
        <f t="shared" si="3"/>
        <v>1</v>
      </c>
      <c r="AN11" s="88" t="str">
        <f t="shared" si="3"/>
        <v>1</v>
      </c>
      <c r="AO11" s="88" t="str">
        <f t="shared" si="3"/>
        <v>1</v>
      </c>
      <c r="AP11" s="88" t="str">
        <f t="shared" si="3"/>
        <v>1</v>
      </c>
      <c r="AQ11" s="88" t="str">
        <f t="shared" si="3"/>
        <v>1</v>
      </c>
      <c r="AR11" s="88" t="str">
        <f t="shared" si="3"/>
        <v>1</v>
      </c>
      <c r="AS11" s="88" t="str">
        <f t="shared" si="3"/>
        <v>1</v>
      </c>
      <c r="AT11" s="89" t="str">
        <f t="shared" si="3"/>
        <v>1</v>
      </c>
    </row>
    <row r="12" spans="1:46" ht="7.05" customHeight="1" x14ac:dyDescent="0.3">
      <c r="B12" s="77"/>
      <c r="C12" s="77">
        <v>40</v>
      </c>
      <c r="D12" s="84" t="str">
        <f t="shared" si="4"/>
        <v/>
      </c>
      <c r="E12" s="85" t="str">
        <f t="shared" si="4"/>
        <v/>
      </c>
      <c r="F12" s="85" t="str">
        <f t="shared" si="4"/>
        <v/>
      </c>
      <c r="G12" s="85" t="str">
        <f t="shared" si="4"/>
        <v/>
      </c>
      <c r="H12" s="85" t="str">
        <f t="shared" si="4"/>
        <v/>
      </c>
      <c r="I12" s="85" t="str">
        <f t="shared" si="4"/>
        <v/>
      </c>
      <c r="J12" s="85" t="str">
        <f t="shared" si="4"/>
        <v/>
      </c>
      <c r="K12" s="85" t="str">
        <f t="shared" si="4"/>
        <v/>
      </c>
      <c r="L12" s="85" t="str">
        <f t="shared" si="4"/>
        <v/>
      </c>
      <c r="M12" s="86" t="str">
        <f t="shared" si="4"/>
        <v/>
      </c>
      <c r="N12" s="77">
        <v>40</v>
      </c>
      <c r="O12" s="87" t="str">
        <f t="shared" si="5"/>
        <v>1</v>
      </c>
      <c r="P12" s="88" t="str">
        <f t="shared" si="1"/>
        <v>1</v>
      </c>
      <c r="Q12" s="88" t="str">
        <f t="shared" si="1"/>
        <v>1</v>
      </c>
      <c r="R12" s="88" t="str">
        <f t="shared" si="1"/>
        <v>1</v>
      </c>
      <c r="S12" s="88" t="str">
        <f t="shared" si="1"/>
        <v>1</v>
      </c>
      <c r="T12" s="88" t="str">
        <f t="shared" si="1"/>
        <v>1</v>
      </c>
      <c r="U12" s="88" t="str">
        <f t="shared" si="1"/>
        <v>1</v>
      </c>
      <c r="V12" s="88" t="str">
        <f t="shared" si="1"/>
        <v>1</v>
      </c>
      <c r="W12" s="88" t="str">
        <f t="shared" si="1"/>
        <v>1</v>
      </c>
      <c r="X12" s="89" t="str">
        <f t="shared" si="1"/>
        <v>1</v>
      </c>
      <c r="Y12" s="77">
        <v>40</v>
      </c>
      <c r="Z12" s="87" t="str">
        <f t="shared" si="2"/>
        <v>1</v>
      </c>
      <c r="AA12" s="88" t="str">
        <f t="shared" si="2"/>
        <v>1</v>
      </c>
      <c r="AB12" s="88" t="str">
        <f t="shared" si="2"/>
        <v>1</v>
      </c>
      <c r="AC12" s="88" t="str">
        <f t="shared" si="2"/>
        <v>1</v>
      </c>
      <c r="AD12" s="88" t="str">
        <f t="shared" si="2"/>
        <v>1</v>
      </c>
      <c r="AE12" s="88" t="str">
        <f t="shared" si="2"/>
        <v>1</v>
      </c>
      <c r="AF12" s="88" t="str">
        <f t="shared" si="2"/>
        <v>1</v>
      </c>
      <c r="AG12" s="88" t="str">
        <f t="shared" si="2"/>
        <v>1</v>
      </c>
      <c r="AH12" s="88" t="str">
        <f t="shared" si="2"/>
        <v>1</v>
      </c>
      <c r="AI12" s="89" t="str">
        <f t="shared" si="2"/>
        <v>1</v>
      </c>
      <c r="AJ12" s="77">
        <v>40</v>
      </c>
      <c r="AK12" s="87" t="str">
        <f t="shared" si="3"/>
        <v>1</v>
      </c>
      <c r="AL12" s="88" t="str">
        <f t="shared" si="3"/>
        <v>1</v>
      </c>
      <c r="AM12" s="88" t="str">
        <f t="shared" si="3"/>
        <v>1</v>
      </c>
      <c r="AN12" s="88" t="str">
        <f t="shared" si="3"/>
        <v>1</v>
      </c>
      <c r="AO12" s="88" t="str">
        <f t="shared" si="3"/>
        <v>1</v>
      </c>
      <c r="AP12" s="88" t="str">
        <f t="shared" si="3"/>
        <v>1</v>
      </c>
      <c r="AQ12" s="88" t="str">
        <f t="shared" si="3"/>
        <v>1</v>
      </c>
      <c r="AR12" s="88" t="str">
        <f t="shared" si="3"/>
        <v>1</v>
      </c>
      <c r="AS12" s="88" t="str">
        <f t="shared" si="3"/>
        <v>1</v>
      </c>
      <c r="AT12" s="89" t="str">
        <f t="shared" si="3"/>
        <v>1</v>
      </c>
    </row>
    <row r="13" spans="1:46" ht="7.05" customHeight="1" x14ac:dyDescent="0.3">
      <c r="B13" s="77"/>
      <c r="C13" s="77">
        <v>30</v>
      </c>
      <c r="D13" s="84" t="str">
        <f t="shared" si="4"/>
        <v/>
      </c>
      <c r="E13" s="85" t="str">
        <f t="shared" si="4"/>
        <v/>
      </c>
      <c r="F13" s="85" t="str">
        <f t="shared" si="4"/>
        <v/>
      </c>
      <c r="G13" s="85" t="str">
        <f t="shared" si="4"/>
        <v/>
      </c>
      <c r="H13" s="85" t="str">
        <f t="shared" si="4"/>
        <v/>
      </c>
      <c r="I13" s="85" t="str">
        <f t="shared" si="4"/>
        <v/>
      </c>
      <c r="J13" s="85" t="str">
        <f t="shared" si="4"/>
        <v/>
      </c>
      <c r="K13" s="85" t="str">
        <f t="shared" si="4"/>
        <v/>
      </c>
      <c r="L13" s="85" t="str">
        <f t="shared" si="4"/>
        <v/>
      </c>
      <c r="M13" s="86" t="str">
        <f t="shared" si="4"/>
        <v/>
      </c>
      <c r="N13" s="77">
        <v>30</v>
      </c>
      <c r="O13" s="87" t="str">
        <f t="shared" si="5"/>
        <v>1</v>
      </c>
      <c r="P13" s="88" t="str">
        <f t="shared" si="1"/>
        <v>1</v>
      </c>
      <c r="Q13" s="88" t="str">
        <f t="shared" si="1"/>
        <v>1</v>
      </c>
      <c r="R13" s="88" t="str">
        <f t="shared" si="1"/>
        <v>1</v>
      </c>
      <c r="S13" s="88" t="str">
        <f t="shared" si="1"/>
        <v>1</v>
      </c>
      <c r="T13" s="88" t="str">
        <f t="shared" si="1"/>
        <v>1</v>
      </c>
      <c r="U13" s="88" t="str">
        <f t="shared" si="1"/>
        <v>1</v>
      </c>
      <c r="V13" s="88" t="str">
        <f t="shared" si="1"/>
        <v>1</v>
      </c>
      <c r="W13" s="88" t="str">
        <f t="shared" si="1"/>
        <v>1</v>
      </c>
      <c r="X13" s="89" t="str">
        <f t="shared" si="1"/>
        <v>1</v>
      </c>
      <c r="Y13" s="77">
        <v>30</v>
      </c>
      <c r="Z13" s="87" t="str">
        <f t="shared" si="2"/>
        <v>1</v>
      </c>
      <c r="AA13" s="88" t="str">
        <f t="shared" si="2"/>
        <v>1</v>
      </c>
      <c r="AB13" s="88" t="str">
        <f t="shared" si="2"/>
        <v>1</v>
      </c>
      <c r="AC13" s="88" t="str">
        <f t="shared" si="2"/>
        <v>1</v>
      </c>
      <c r="AD13" s="88" t="str">
        <f t="shared" si="2"/>
        <v>1</v>
      </c>
      <c r="AE13" s="88" t="str">
        <f t="shared" si="2"/>
        <v>1</v>
      </c>
      <c r="AF13" s="88" t="str">
        <f t="shared" si="2"/>
        <v>1</v>
      </c>
      <c r="AG13" s="88" t="str">
        <f t="shared" si="2"/>
        <v>1</v>
      </c>
      <c r="AH13" s="88" t="str">
        <f t="shared" si="2"/>
        <v>1</v>
      </c>
      <c r="AI13" s="89" t="str">
        <f t="shared" si="2"/>
        <v>1</v>
      </c>
      <c r="AJ13" s="77">
        <v>30</v>
      </c>
      <c r="AK13" s="87" t="str">
        <f t="shared" si="3"/>
        <v>1</v>
      </c>
      <c r="AL13" s="88" t="str">
        <f t="shared" si="3"/>
        <v>1</v>
      </c>
      <c r="AM13" s="88" t="str">
        <f t="shared" si="3"/>
        <v>1</v>
      </c>
      <c r="AN13" s="88" t="str">
        <f t="shared" si="3"/>
        <v>1</v>
      </c>
      <c r="AO13" s="88" t="str">
        <f t="shared" si="3"/>
        <v>1</v>
      </c>
      <c r="AP13" s="88" t="str">
        <f t="shared" si="3"/>
        <v>1</v>
      </c>
      <c r="AQ13" s="88" t="str">
        <f t="shared" si="3"/>
        <v>1</v>
      </c>
      <c r="AR13" s="88" t="str">
        <f t="shared" si="3"/>
        <v>1</v>
      </c>
      <c r="AS13" s="88" t="str">
        <f t="shared" si="3"/>
        <v>1</v>
      </c>
      <c r="AT13" s="89" t="str">
        <f t="shared" si="3"/>
        <v>1</v>
      </c>
    </row>
    <row r="14" spans="1:46" ht="7.05" customHeight="1" x14ac:dyDescent="0.3">
      <c r="B14" s="77"/>
      <c r="C14" s="77">
        <v>20</v>
      </c>
      <c r="D14" s="84" t="str">
        <f t="shared" si="4"/>
        <v>1</v>
      </c>
      <c r="E14" s="85" t="str">
        <f t="shared" si="4"/>
        <v>1</v>
      </c>
      <c r="F14" s="85" t="str">
        <f t="shared" si="4"/>
        <v>1</v>
      </c>
      <c r="G14" s="85" t="str">
        <f t="shared" si="4"/>
        <v>1</v>
      </c>
      <c r="H14" s="85" t="str">
        <f t="shared" si="4"/>
        <v>1</v>
      </c>
      <c r="I14" s="85" t="str">
        <f t="shared" si="4"/>
        <v/>
      </c>
      <c r="J14" s="85" t="str">
        <f t="shared" si="4"/>
        <v/>
      </c>
      <c r="K14" s="85" t="str">
        <f t="shared" si="4"/>
        <v/>
      </c>
      <c r="L14" s="85" t="str">
        <f t="shared" si="4"/>
        <v/>
      </c>
      <c r="M14" s="86" t="str">
        <f t="shared" si="4"/>
        <v/>
      </c>
      <c r="N14" s="77">
        <v>20</v>
      </c>
      <c r="O14" s="87" t="str">
        <f t="shared" si="5"/>
        <v>1</v>
      </c>
      <c r="P14" s="88" t="str">
        <f t="shared" si="1"/>
        <v>1</v>
      </c>
      <c r="Q14" s="88" t="str">
        <f t="shared" si="1"/>
        <v>1</v>
      </c>
      <c r="R14" s="88" t="str">
        <f t="shared" si="1"/>
        <v>1</v>
      </c>
      <c r="S14" s="88" t="str">
        <f t="shared" si="1"/>
        <v>1</v>
      </c>
      <c r="T14" s="88" t="str">
        <f t="shared" si="1"/>
        <v>1</v>
      </c>
      <c r="U14" s="88" t="str">
        <f t="shared" si="1"/>
        <v>1</v>
      </c>
      <c r="V14" s="88" t="str">
        <f t="shared" si="1"/>
        <v>1</v>
      </c>
      <c r="W14" s="88" t="str">
        <f t="shared" si="1"/>
        <v>1</v>
      </c>
      <c r="X14" s="89" t="str">
        <f t="shared" si="1"/>
        <v>1</v>
      </c>
      <c r="Y14" s="77">
        <v>20</v>
      </c>
      <c r="Z14" s="87" t="str">
        <f t="shared" si="2"/>
        <v>1</v>
      </c>
      <c r="AA14" s="88" t="str">
        <f t="shared" si="2"/>
        <v>1</v>
      </c>
      <c r="AB14" s="88" t="str">
        <f t="shared" si="2"/>
        <v>1</v>
      </c>
      <c r="AC14" s="88" t="str">
        <f t="shared" si="2"/>
        <v>1</v>
      </c>
      <c r="AD14" s="88" t="str">
        <f t="shared" si="2"/>
        <v>1</v>
      </c>
      <c r="AE14" s="88" t="str">
        <f t="shared" si="2"/>
        <v>1</v>
      </c>
      <c r="AF14" s="88" t="str">
        <f t="shared" si="2"/>
        <v>1</v>
      </c>
      <c r="AG14" s="88" t="str">
        <f t="shared" si="2"/>
        <v>1</v>
      </c>
      <c r="AH14" s="88" t="str">
        <f t="shared" si="2"/>
        <v>1</v>
      </c>
      <c r="AI14" s="89" t="str">
        <f t="shared" si="2"/>
        <v>1</v>
      </c>
      <c r="AJ14" s="77">
        <v>20</v>
      </c>
      <c r="AK14" s="87" t="str">
        <f t="shared" si="3"/>
        <v>1</v>
      </c>
      <c r="AL14" s="88" t="str">
        <f t="shared" si="3"/>
        <v>1</v>
      </c>
      <c r="AM14" s="88" t="str">
        <f t="shared" si="3"/>
        <v>1</v>
      </c>
      <c r="AN14" s="88" t="str">
        <f t="shared" si="3"/>
        <v>1</v>
      </c>
      <c r="AO14" s="88" t="str">
        <f t="shared" si="3"/>
        <v>1</v>
      </c>
      <c r="AP14" s="88" t="str">
        <f t="shared" si="3"/>
        <v>1</v>
      </c>
      <c r="AQ14" s="88" t="str">
        <f t="shared" si="3"/>
        <v>1</v>
      </c>
      <c r="AR14" s="88" t="str">
        <f t="shared" si="3"/>
        <v>1</v>
      </c>
      <c r="AS14" s="88" t="str">
        <f t="shared" si="3"/>
        <v>1</v>
      </c>
      <c r="AT14" s="89" t="str">
        <f t="shared" si="3"/>
        <v>1</v>
      </c>
    </row>
    <row r="15" spans="1:46" ht="7.05" customHeight="1" x14ac:dyDescent="0.3">
      <c r="B15" s="77"/>
      <c r="C15" s="77">
        <v>10</v>
      </c>
      <c r="D15" s="84" t="str">
        <f>IF((D$17+$C15)&lt;=($B$2*100),"1","")</f>
        <v>1</v>
      </c>
      <c r="E15" s="85" t="str">
        <f>IF((E$17+$C15)&lt;=($B$2*100),"1","")</f>
        <v>1</v>
      </c>
      <c r="F15" s="85" t="str">
        <f t="shared" si="4"/>
        <v>1</v>
      </c>
      <c r="G15" s="85" t="str">
        <f t="shared" si="4"/>
        <v>1</v>
      </c>
      <c r="H15" s="85" t="str">
        <f t="shared" si="4"/>
        <v>1</v>
      </c>
      <c r="I15" s="85" t="str">
        <f t="shared" si="4"/>
        <v>1</v>
      </c>
      <c r="J15" s="85" t="str">
        <f t="shared" si="4"/>
        <v>1</v>
      </c>
      <c r="K15" s="85" t="str">
        <f t="shared" si="4"/>
        <v>1</v>
      </c>
      <c r="L15" s="85" t="str">
        <f t="shared" si="4"/>
        <v>1</v>
      </c>
      <c r="M15" s="86" t="str">
        <f>IF((M$17+$C15)&lt;=($B$2*100),"1","")</f>
        <v>1</v>
      </c>
      <c r="N15" s="77">
        <v>10</v>
      </c>
      <c r="O15" s="87" t="str">
        <f t="shared" si="5"/>
        <v>1</v>
      </c>
      <c r="P15" s="88" t="str">
        <f t="shared" si="1"/>
        <v>1</v>
      </c>
      <c r="Q15" s="88" t="str">
        <f t="shared" si="1"/>
        <v>1</v>
      </c>
      <c r="R15" s="88" t="str">
        <f t="shared" si="1"/>
        <v>1</v>
      </c>
      <c r="S15" s="88" t="str">
        <f t="shared" si="1"/>
        <v>1</v>
      </c>
      <c r="T15" s="88" t="str">
        <f t="shared" si="1"/>
        <v>1</v>
      </c>
      <c r="U15" s="88" t="str">
        <f t="shared" si="1"/>
        <v>1</v>
      </c>
      <c r="V15" s="88" t="str">
        <f t="shared" si="1"/>
        <v>1</v>
      </c>
      <c r="W15" s="88" t="str">
        <f t="shared" si="1"/>
        <v>1</v>
      </c>
      <c r="X15" s="89" t="str">
        <f t="shared" si="1"/>
        <v>1</v>
      </c>
      <c r="Y15" s="77">
        <v>10</v>
      </c>
      <c r="Z15" s="87" t="str">
        <f t="shared" si="2"/>
        <v>1</v>
      </c>
      <c r="AA15" s="88" t="str">
        <f t="shared" si="2"/>
        <v>1</v>
      </c>
      <c r="AB15" s="88" t="str">
        <f t="shared" si="2"/>
        <v>1</v>
      </c>
      <c r="AC15" s="88" t="str">
        <f t="shared" si="2"/>
        <v>1</v>
      </c>
      <c r="AD15" s="88" t="str">
        <f t="shared" si="2"/>
        <v>1</v>
      </c>
      <c r="AE15" s="88" t="str">
        <f t="shared" si="2"/>
        <v>1</v>
      </c>
      <c r="AF15" s="88" t="str">
        <f t="shared" si="2"/>
        <v>1</v>
      </c>
      <c r="AG15" s="88" t="str">
        <f t="shared" si="2"/>
        <v>1</v>
      </c>
      <c r="AH15" s="88" t="str">
        <f t="shared" si="2"/>
        <v>1</v>
      </c>
      <c r="AI15" s="89" t="str">
        <f t="shared" si="2"/>
        <v>1</v>
      </c>
      <c r="AJ15" s="77">
        <v>10</v>
      </c>
      <c r="AK15" s="87" t="str">
        <f t="shared" si="3"/>
        <v>1</v>
      </c>
      <c r="AL15" s="88" t="str">
        <f t="shared" si="3"/>
        <v>1</v>
      </c>
      <c r="AM15" s="88" t="str">
        <f t="shared" si="3"/>
        <v>1</v>
      </c>
      <c r="AN15" s="88" t="str">
        <f t="shared" si="3"/>
        <v>1</v>
      </c>
      <c r="AO15" s="88" t="str">
        <f t="shared" si="3"/>
        <v>1</v>
      </c>
      <c r="AP15" s="88" t="str">
        <f t="shared" si="3"/>
        <v>1</v>
      </c>
      <c r="AQ15" s="88" t="str">
        <f t="shared" si="3"/>
        <v>1</v>
      </c>
      <c r="AR15" s="88" t="str">
        <f t="shared" si="3"/>
        <v>1</v>
      </c>
      <c r="AS15" s="88" t="str">
        <f t="shared" si="3"/>
        <v>1</v>
      </c>
      <c r="AT15" s="89" t="str">
        <f t="shared" si="3"/>
        <v>1</v>
      </c>
    </row>
    <row r="16" spans="1:46" ht="7.05" customHeight="1" x14ac:dyDescent="0.3">
      <c r="B16" s="77"/>
      <c r="C16" s="77">
        <v>0</v>
      </c>
      <c r="D16" s="90" t="str">
        <f>IF((D$17+$C16)&lt;=($B$2*100),"1","")</f>
        <v>1</v>
      </c>
      <c r="E16" s="91" t="str">
        <f>IF((E$17+$C16)&lt;=($B$2*100),"1","")</f>
        <v>1</v>
      </c>
      <c r="F16" s="91" t="str">
        <f t="shared" ref="F16:L16" si="6">IF((F$17+$C16)&lt;=($B$2*100),"1","")</f>
        <v>1</v>
      </c>
      <c r="G16" s="91" t="str">
        <f t="shared" si="6"/>
        <v>1</v>
      </c>
      <c r="H16" s="91" t="str">
        <f t="shared" si="6"/>
        <v>1</v>
      </c>
      <c r="I16" s="91" t="str">
        <f t="shared" si="6"/>
        <v>1</v>
      </c>
      <c r="J16" s="91" t="str">
        <f t="shared" si="6"/>
        <v>1</v>
      </c>
      <c r="K16" s="91" t="str">
        <f t="shared" si="6"/>
        <v>1</v>
      </c>
      <c r="L16" s="91" t="str">
        <f t="shared" si="6"/>
        <v>1</v>
      </c>
      <c r="M16" s="92" t="str">
        <f>IF((M$17+$C16)&lt;=($B$2*100),"1","")</f>
        <v>1</v>
      </c>
      <c r="N16" s="77">
        <v>0</v>
      </c>
      <c r="O16" s="93" t="str">
        <f t="shared" si="5"/>
        <v>1</v>
      </c>
      <c r="P16" s="94" t="str">
        <f t="shared" si="1"/>
        <v>1</v>
      </c>
      <c r="Q16" s="94" t="str">
        <f t="shared" si="1"/>
        <v>1</v>
      </c>
      <c r="R16" s="94" t="str">
        <f t="shared" si="1"/>
        <v>1</v>
      </c>
      <c r="S16" s="94" t="str">
        <f t="shared" si="1"/>
        <v>1</v>
      </c>
      <c r="T16" s="94" t="str">
        <f t="shared" si="1"/>
        <v>1</v>
      </c>
      <c r="U16" s="94" t="str">
        <f t="shared" si="1"/>
        <v>1</v>
      </c>
      <c r="V16" s="94" t="str">
        <f t="shared" si="1"/>
        <v>1</v>
      </c>
      <c r="W16" s="94" t="str">
        <f t="shared" si="1"/>
        <v>1</v>
      </c>
      <c r="X16" s="95" t="str">
        <f t="shared" si="1"/>
        <v>1</v>
      </c>
      <c r="Y16" s="77">
        <v>0</v>
      </c>
      <c r="Z16" s="93" t="str">
        <f>IF((Z$17+$C16)&lt;=($B$4*100),"1","")</f>
        <v>1</v>
      </c>
      <c r="AA16" s="94" t="str">
        <f t="shared" si="2"/>
        <v>1</v>
      </c>
      <c r="AB16" s="94" t="str">
        <f t="shared" si="2"/>
        <v>1</v>
      </c>
      <c r="AC16" s="94" t="str">
        <f t="shared" si="2"/>
        <v>1</v>
      </c>
      <c r="AD16" s="94" t="str">
        <f t="shared" si="2"/>
        <v>1</v>
      </c>
      <c r="AE16" s="94" t="str">
        <f t="shared" si="2"/>
        <v>1</v>
      </c>
      <c r="AF16" s="94" t="str">
        <f t="shared" si="2"/>
        <v>1</v>
      </c>
      <c r="AG16" s="94" t="str">
        <f t="shared" si="2"/>
        <v>1</v>
      </c>
      <c r="AH16" s="94" t="str">
        <f t="shared" si="2"/>
        <v>1</v>
      </c>
      <c r="AI16" s="95" t="str">
        <f t="shared" si="2"/>
        <v>1</v>
      </c>
      <c r="AJ16" s="77">
        <v>0</v>
      </c>
      <c r="AK16" s="93" t="str">
        <f>IF((AK$17+$C16)&lt;=($B$5*100),"1","")</f>
        <v>1</v>
      </c>
      <c r="AL16" s="94" t="str">
        <f t="shared" si="3"/>
        <v>1</v>
      </c>
      <c r="AM16" s="94" t="str">
        <f t="shared" si="3"/>
        <v>1</v>
      </c>
      <c r="AN16" s="94" t="str">
        <f t="shared" si="3"/>
        <v>1</v>
      </c>
      <c r="AO16" s="94" t="str">
        <f t="shared" si="3"/>
        <v>1</v>
      </c>
      <c r="AP16" s="94" t="str">
        <f t="shared" si="3"/>
        <v>1</v>
      </c>
      <c r="AQ16" s="94" t="str">
        <f t="shared" si="3"/>
        <v>1</v>
      </c>
      <c r="AR16" s="94" t="str">
        <f t="shared" si="3"/>
        <v>1</v>
      </c>
      <c r="AS16" s="94" t="str">
        <f t="shared" si="3"/>
        <v>1</v>
      </c>
      <c r="AT16" s="95" t="str">
        <f t="shared" si="3"/>
        <v>1</v>
      </c>
    </row>
    <row r="17" spans="4:46" customFormat="1" x14ac:dyDescent="0.3">
      <c r="D17" s="96">
        <v>1</v>
      </c>
      <c r="E17" s="96">
        <v>2</v>
      </c>
      <c r="F17" s="96">
        <v>3</v>
      </c>
      <c r="G17" s="96">
        <v>4</v>
      </c>
      <c r="H17" s="96">
        <v>5</v>
      </c>
      <c r="I17" s="96">
        <v>6</v>
      </c>
      <c r="J17" s="96">
        <v>7</v>
      </c>
      <c r="K17" s="96">
        <v>8</v>
      </c>
      <c r="L17" s="96">
        <v>9</v>
      </c>
      <c r="M17" s="96">
        <v>10</v>
      </c>
      <c r="O17" s="96">
        <v>1</v>
      </c>
      <c r="P17" s="96">
        <v>2</v>
      </c>
      <c r="Q17" s="96">
        <v>3</v>
      </c>
      <c r="R17" s="96">
        <v>4</v>
      </c>
      <c r="S17" s="96">
        <v>5</v>
      </c>
      <c r="T17" s="96">
        <v>6</v>
      </c>
      <c r="U17" s="96">
        <v>7</v>
      </c>
      <c r="V17" s="96">
        <v>8</v>
      </c>
      <c r="W17" s="96">
        <v>9</v>
      </c>
      <c r="X17" s="96">
        <v>10</v>
      </c>
      <c r="Z17" s="96">
        <v>1</v>
      </c>
      <c r="AA17" s="96">
        <v>2</v>
      </c>
      <c r="AB17" s="96">
        <v>3</v>
      </c>
      <c r="AC17" s="96">
        <v>4</v>
      </c>
      <c r="AD17" s="96">
        <v>5</v>
      </c>
      <c r="AE17" s="96">
        <v>6</v>
      </c>
      <c r="AF17" s="96">
        <v>7</v>
      </c>
      <c r="AG17" s="96">
        <v>8</v>
      </c>
      <c r="AH17" s="96">
        <v>9</v>
      </c>
      <c r="AI17" s="96">
        <v>10</v>
      </c>
      <c r="AK17" s="96">
        <v>1</v>
      </c>
      <c r="AL17" s="96">
        <v>2</v>
      </c>
      <c r="AM17" s="96">
        <v>3</v>
      </c>
      <c r="AN17" s="96">
        <v>4</v>
      </c>
      <c r="AO17" s="96">
        <v>5</v>
      </c>
      <c r="AP17" s="96">
        <v>6</v>
      </c>
      <c r="AQ17" s="96">
        <v>7</v>
      </c>
      <c r="AR17" s="96">
        <v>8</v>
      </c>
      <c r="AS17" s="96">
        <v>9</v>
      </c>
      <c r="AT17" s="96">
        <v>10</v>
      </c>
    </row>
    <row r="18" spans="4:46" customFormat="1" x14ac:dyDescent="0.3">
      <c r="D18" s="97"/>
      <c r="E18" s="97"/>
      <c r="F18" s="97"/>
      <c r="G18" s="97"/>
      <c r="H18" s="97"/>
      <c r="I18" s="97"/>
      <c r="J18" s="97"/>
      <c r="K18" s="97"/>
      <c r="L18" s="97"/>
      <c r="M18" s="97"/>
    </row>
  </sheetData>
  <mergeCells count="5">
    <mergeCell ref="D5:AS5"/>
    <mergeCell ref="D6:M6"/>
    <mergeCell ref="O6:X6"/>
    <mergeCell ref="Z6:AI6"/>
    <mergeCell ref="AK6:AT6"/>
  </mergeCells>
  <conditionalFormatting sqref="D7:M16">
    <cfRule type="cellIs" dxfId="3" priority="4" operator="equal">
      <formula>"1"</formula>
    </cfRule>
  </conditionalFormatting>
  <conditionalFormatting sqref="O7:X16">
    <cfRule type="cellIs" dxfId="2" priority="3" operator="equal">
      <formula>"1"</formula>
    </cfRule>
  </conditionalFormatting>
  <conditionalFormatting sqref="Z7:AI16">
    <cfRule type="cellIs" dxfId="1" priority="2" operator="equal">
      <formula>"1"</formula>
    </cfRule>
  </conditionalFormatting>
  <conditionalFormatting sqref="AK7:AT16">
    <cfRule type="cellIs" dxfId="0" priority="1" operator="equal">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Navngivne områder</vt:lpstr>
      </vt:variant>
      <vt:variant>
        <vt:i4>7</vt:i4>
      </vt:variant>
    </vt:vector>
  </HeadingPairs>
  <TitlesOfParts>
    <vt:vector size="14" baseType="lpstr">
      <vt:lpstr>Dashboard</vt:lpstr>
      <vt:lpstr>Træningslog</vt:lpstr>
      <vt:lpstr>Skemaer</vt:lpstr>
      <vt:lpstr>Marathon</vt:lpstr>
      <vt:lpstr>Maffetone</vt:lpstr>
      <vt:lpstr>Julekalender</vt:lpstr>
      <vt:lpstr>ProcentBoks</vt:lpstr>
      <vt:lpstr>Height</vt:lpstr>
      <vt:lpstr>MT_AAR</vt:lpstr>
      <vt:lpstr>PercentThere</vt:lpstr>
      <vt:lpstr>StartDate</vt:lpstr>
      <vt:lpstr>TargetDate</vt:lpstr>
      <vt:lpstr>TargetWeight</vt:lpstr>
      <vt:lpstr>Weight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Palle Arentoft</dc:creator>
  <cp:lastModifiedBy>Palle Arentoft</cp:lastModifiedBy>
  <cp:lastPrinted>2017-07-12T10:17:20Z</cp:lastPrinted>
  <dcterms:created xsi:type="dcterms:W3CDTF">2016-01-04T22:47:16Z</dcterms:created>
  <dcterms:modified xsi:type="dcterms:W3CDTF">2018-10-09T09:15:53Z</dcterms:modified>
</cp:coreProperties>
</file>